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 filterPrivacy="1"/>
  <xr:revisionPtr revIDLastSave="17" documentId="8_{7F692D93-0328-444F-B883-21AF1C2C3619}" xr6:coauthVersionLast="43" xr6:coauthVersionMax="43" xr10:uidLastSave="{EBBBCE9F-A54B-0B4E-A011-F297688412F2}"/>
  <bookViews>
    <workbookView xWindow="0" yWindow="440" windowWidth="28800" windowHeight="16440" tabRatio="583" activeTab="2" xr2:uid="{00000000-000D-0000-FFFF-FFFF00000000}"/>
  </bookViews>
  <sheets>
    <sheet name="1" sheetId="1" r:id="rId1"/>
    <sheet name="Chart1" sheetId="3" r:id="rId2"/>
    <sheet name="Chart2" sheetId="5" r:id="rId3"/>
    <sheet name="Chart3" sheetId="8" r:id="rId4"/>
    <sheet name="წაუგებლობა" sheetId="2" r:id="rId5"/>
    <sheet name="მოგება" sheetId="4" r:id="rId6"/>
    <sheet name="Лист1" sheetId="9" r:id="rId7"/>
  </sheets>
  <definedNames>
    <definedName name="ExternalData_1" localSheetId="6" hidden="1">Лист1!$A$1:$D$3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01" i="1" l="1"/>
  <c r="AB97" i="1"/>
  <c r="AB96" i="1"/>
  <c r="O96" i="1"/>
  <c r="O97" i="1"/>
  <c r="C97" i="1" l="1"/>
  <c r="R97" i="1" l="1"/>
  <c r="C42" i="1"/>
  <c r="C41" i="1"/>
  <c r="C96" i="1" s="1"/>
  <c r="Y97" i="1" l="1"/>
  <c r="D97" i="1"/>
  <c r="P97" i="1"/>
  <c r="I97" i="1"/>
  <c r="H97" i="1"/>
  <c r="G97" i="1"/>
  <c r="N97" i="1"/>
  <c r="V97" i="1"/>
  <c r="U97" i="1"/>
  <c r="L97" i="1"/>
  <c r="K97" i="1"/>
  <c r="AA97" i="1"/>
  <c r="S97" i="1"/>
  <c r="Q97" i="1"/>
  <c r="X97" i="1"/>
  <c r="W97" i="1"/>
  <c r="F97" i="1"/>
  <c r="M97" i="1"/>
  <c r="E97" i="1"/>
  <c r="T97" i="1"/>
  <c r="J97" i="1"/>
  <c r="Z97" i="1"/>
  <c r="O101" i="1"/>
  <c r="C101" i="1"/>
  <c r="C58" i="1" s="1"/>
  <c r="Q76" i="1"/>
  <c r="R76" i="1"/>
  <c r="S76" i="1"/>
  <c r="T76" i="1"/>
  <c r="U76" i="1"/>
  <c r="V76" i="1"/>
  <c r="W76" i="1"/>
  <c r="X76" i="1"/>
  <c r="Y76" i="1"/>
  <c r="Z76" i="1"/>
  <c r="AA76" i="1"/>
  <c r="P76" i="1"/>
  <c r="Z75" i="1"/>
  <c r="AA75" i="1"/>
  <c r="Q75" i="1"/>
  <c r="R75" i="1"/>
  <c r="S75" i="1"/>
  <c r="T75" i="1"/>
  <c r="U75" i="1"/>
  <c r="V75" i="1"/>
  <c r="W75" i="1"/>
  <c r="X75" i="1"/>
  <c r="Y75" i="1"/>
  <c r="P75" i="1"/>
  <c r="Q74" i="1"/>
  <c r="R74" i="1"/>
  <c r="S74" i="1"/>
  <c r="T74" i="1"/>
  <c r="U74" i="1"/>
  <c r="V74" i="1"/>
  <c r="W74" i="1"/>
  <c r="X74" i="1"/>
  <c r="AB74" i="1" s="1"/>
  <c r="Y74" i="1"/>
  <c r="Z74" i="1"/>
  <c r="AA74" i="1"/>
  <c r="P74" i="1"/>
  <c r="Q72" i="1"/>
  <c r="R72" i="1"/>
  <c r="S72" i="1"/>
  <c r="T72" i="1"/>
  <c r="U72" i="1"/>
  <c r="V72" i="1"/>
  <c r="W72" i="1"/>
  <c r="X72" i="1"/>
  <c r="Y72" i="1"/>
  <c r="Z72" i="1"/>
  <c r="AA72" i="1"/>
  <c r="P72" i="1"/>
  <c r="Q71" i="1"/>
  <c r="R71" i="1"/>
  <c r="S71" i="1"/>
  <c r="T71" i="1"/>
  <c r="U71" i="1"/>
  <c r="V71" i="1"/>
  <c r="W71" i="1"/>
  <c r="X71" i="1"/>
  <c r="Y71" i="1"/>
  <c r="Z71" i="1"/>
  <c r="AA71" i="1"/>
  <c r="P71" i="1"/>
  <c r="E71" i="1"/>
  <c r="F71" i="1"/>
  <c r="G71" i="1"/>
  <c r="H71" i="1"/>
  <c r="I71" i="1"/>
  <c r="J71" i="1"/>
  <c r="K71" i="1"/>
  <c r="L71" i="1"/>
  <c r="M71" i="1"/>
  <c r="N71" i="1"/>
  <c r="E72" i="1"/>
  <c r="F72" i="1"/>
  <c r="G72" i="1"/>
  <c r="H72" i="1"/>
  <c r="I72" i="1"/>
  <c r="J72" i="1"/>
  <c r="K72" i="1"/>
  <c r="L72" i="1"/>
  <c r="M72" i="1"/>
  <c r="N72" i="1"/>
  <c r="E74" i="1"/>
  <c r="F74" i="1"/>
  <c r="G74" i="1"/>
  <c r="H74" i="1"/>
  <c r="I74" i="1"/>
  <c r="J74" i="1"/>
  <c r="K74" i="1"/>
  <c r="L74" i="1"/>
  <c r="M74" i="1"/>
  <c r="N74" i="1"/>
  <c r="E75" i="1"/>
  <c r="F75" i="1"/>
  <c r="G75" i="1"/>
  <c r="H75" i="1"/>
  <c r="I75" i="1"/>
  <c r="J75" i="1"/>
  <c r="K75" i="1"/>
  <c r="L75" i="1"/>
  <c r="M75" i="1"/>
  <c r="N75" i="1"/>
  <c r="E76" i="1"/>
  <c r="F76" i="1"/>
  <c r="G76" i="1"/>
  <c r="H76" i="1"/>
  <c r="I76" i="1"/>
  <c r="J76" i="1"/>
  <c r="K76" i="1"/>
  <c r="L76" i="1"/>
  <c r="M76" i="1"/>
  <c r="N76" i="1"/>
  <c r="D71" i="1"/>
  <c r="D72" i="1"/>
  <c r="D74" i="1"/>
  <c r="D76" i="1"/>
  <c r="D75" i="1"/>
  <c r="Q42" i="1"/>
  <c r="R42" i="1"/>
  <c r="S42" i="1"/>
  <c r="T42" i="1"/>
  <c r="U42" i="1"/>
  <c r="V42" i="1"/>
  <c r="W42" i="1"/>
  <c r="X42" i="1"/>
  <c r="Y42" i="1"/>
  <c r="Z42" i="1"/>
  <c r="AA42" i="1"/>
  <c r="P42" i="1"/>
  <c r="Q41" i="1"/>
  <c r="R41" i="1"/>
  <c r="S41" i="1"/>
  <c r="T41" i="1"/>
  <c r="U41" i="1"/>
  <c r="V41" i="1"/>
  <c r="V96" i="1" s="1"/>
  <c r="W41" i="1"/>
  <c r="W96" i="1" s="1"/>
  <c r="X41" i="1"/>
  <c r="Y41" i="1"/>
  <c r="Z41" i="1"/>
  <c r="AA41" i="1"/>
  <c r="P41" i="1"/>
  <c r="Q40" i="1"/>
  <c r="R40" i="1"/>
  <c r="S40" i="1"/>
  <c r="T40" i="1"/>
  <c r="U40" i="1"/>
  <c r="V40" i="1"/>
  <c r="W40" i="1"/>
  <c r="X40" i="1"/>
  <c r="Y40" i="1"/>
  <c r="Z40" i="1"/>
  <c r="AA40" i="1"/>
  <c r="P40" i="1"/>
  <c r="E42" i="1"/>
  <c r="F42" i="1"/>
  <c r="G42" i="1"/>
  <c r="H42" i="1"/>
  <c r="I42" i="1"/>
  <c r="J42" i="1"/>
  <c r="K42" i="1"/>
  <c r="L42" i="1"/>
  <c r="M42" i="1"/>
  <c r="N42" i="1"/>
  <c r="D42" i="1"/>
  <c r="E41" i="1"/>
  <c r="F41" i="1"/>
  <c r="F96" i="1" s="1"/>
  <c r="G41" i="1"/>
  <c r="G96" i="1" s="1"/>
  <c r="H41" i="1"/>
  <c r="I41" i="1"/>
  <c r="I96" i="1" s="1"/>
  <c r="J41" i="1"/>
  <c r="K41" i="1"/>
  <c r="L41" i="1"/>
  <c r="M41" i="1"/>
  <c r="N41" i="1"/>
  <c r="N96" i="1" s="1"/>
  <c r="D41" i="1"/>
  <c r="D96" i="1" s="1"/>
  <c r="E40" i="1"/>
  <c r="F40" i="1"/>
  <c r="G40" i="1"/>
  <c r="H40" i="1"/>
  <c r="I40" i="1"/>
  <c r="J40" i="1"/>
  <c r="K40" i="1"/>
  <c r="L40" i="1"/>
  <c r="M40" i="1"/>
  <c r="N40" i="1"/>
  <c r="D40" i="1"/>
  <c r="P25" i="1"/>
  <c r="P8" i="1"/>
  <c r="P7" i="1"/>
  <c r="P9" i="1"/>
  <c r="P10" i="1"/>
  <c r="D10" i="1"/>
  <c r="D9" i="1"/>
  <c r="D8" i="1"/>
  <c r="D7" i="1"/>
  <c r="AB26" i="1"/>
  <c r="O26" i="1"/>
  <c r="AB13" i="1"/>
  <c r="AB14" i="1"/>
  <c r="AB15" i="1"/>
  <c r="AB16" i="1"/>
  <c r="X96" i="1" l="1"/>
  <c r="U96" i="1"/>
  <c r="H96" i="1"/>
  <c r="T96" i="1"/>
  <c r="T101" i="1" s="1"/>
  <c r="T58" i="1" s="1"/>
  <c r="P96" i="1"/>
  <c r="P101" i="1" s="1"/>
  <c r="P58" i="1" s="1"/>
  <c r="L96" i="1"/>
  <c r="L101" i="1" s="1"/>
  <c r="L58" i="1" s="1"/>
  <c r="S96" i="1"/>
  <c r="S101" i="1" s="1"/>
  <c r="S58" i="1" s="1"/>
  <c r="M96" i="1"/>
  <c r="M101" i="1" s="1"/>
  <c r="M58" i="1" s="1"/>
  <c r="AA96" i="1"/>
  <c r="AA101" i="1" s="1"/>
  <c r="AA58" i="1" s="1"/>
  <c r="K96" i="1"/>
  <c r="Z96" i="1"/>
  <c r="Z101" i="1" s="1"/>
  <c r="Z58" i="1" s="1"/>
  <c r="R96" i="1"/>
  <c r="R101" i="1" s="1"/>
  <c r="R58" i="1" s="1"/>
  <c r="E96" i="1"/>
  <c r="E101" i="1" s="1"/>
  <c r="E58" i="1" s="1"/>
  <c r="J96" i="1"/>
  <c r="J101" i="1" s="1"/>
  <c r="J58" i="1" s="1"/>
  <c r="Y96" i="1"/>
  <c r="Y101" i="1" s="1"/>
  <c r="Y58" i="1" s="1"/>
  <c r="Q96" i="1"/>
  <c r="Q101" i="1" s="1"/>
  <c r="Q58" i="1" s="1"/>
  <c r="G101" i="1"/>
  <c r="G58" i="1" s="1"/>
  <c r="K101" i="1"/>
  <c r="K58" i="1" s="1"/>
  <c r="I101" i="1"/>
  <c r="I58" i="1" s="1"/>
  <c r="X101" i="1"/>
  <c r="X58" i="1" s="1"/>
  <c r="H101" i="1"/>
  <c r="H58" i="1" s="1"/>
  <c r="W101" i="1"/>
  <c r="W58" i="1" s="1"/>
  <c r="D101" i="1"/>
  <c r="D58" i="1" s="1"/>
  <c r="V101" i="1"/>
  <c r="V58" i="1" s="1"/>
  <c r="N101" i="1"/>
  <c r="N58" i="1" s="1"/>
  <c r="F101" i="1"/>
  <c r="F58" i="1" s="1"/>
  <c r="U101" i="1"/>
  <c r="U58" i="1" s="1"/>
  <c r="AB20" i="1" l="1"/>
  <c r="F51" i="1"/>
  <c r="F64" i="1"/>
  <c r="G51" i="1"/>
  <c r="H51" i="1"/>
  <c r="G2" i="1"/>
  <c r="H2" i="1"/>
  <c r="C39" i="1"/>
  <c r="C78" i="1" s="1"/>
  <c r="C51" i="1"/>
  <c r="C57" i="1"/>
  <c r="C64" i="1"/>
  <c r="C68" i="1"/>
  <c r="D39" i="1"/>
  <c r="D78" i="1" s="1"/>
  <c r="D77" i="1" s="1"/>
  <c r="D51" i="1"/>
  <c r="D57" i="1"/>
  <c r="D64" i="1"/>
  <c r="D68" i="1"/>
  <c r="C3" i="2"/>
  <c r="E39" i="1"/>
  <c r="E78" i="1" s="1"/>
  <c r="E51" i="1"/>
  <c r="E57" i="1"/>
  <c r="E64" i="1"/>
  <c r="E68" i="1"/>
  <c r="D3" i="2"/>
  <c r="I51" i="1"/>
  <c r="J51" i="1"/>
  <c r="K51" i="1"/>
  <c r="I2" i="1"/>
  <c r="K2" i="1"/>
  <c r="L51" i="1"/>
  <c r="M51" i="1"/>
  <c r="N51" i="1"/>
  <c r="L2" i="1"/>
  <c r="M2" i="1"/>
  <c r="N2" i="1"/>
  <c r="B3" i="2"/>
  <c r="B7" i="2" s="1"/>
  <c r="C24" i="1"/>
  <c r="C28" i="1"/>
  <c r="D28" i="1"/>
  <c r="E28" i="1"/>
  <c r="F24" i="1"/>
  <c r="F28" i="1"/>
  <c r="G24" i="1"/>
  <c r="G28" i="1"/>
  <c r="H24" i="1"/>
  <c r="H28" i="1"/>
  <c r="I24" i="1"/>
  <c r="I28" i="1"/>
  <c r="J24" i="1"/>
  <c r="J28" i="1"/>
  <c r="K24" i="1"/>
  <c r="K28" i="1"/>
  <c r="L24" i="1"/>
  <c r="L28" i="1"/>
  <c r="M24" i="1"/>
  <c r="M28" i="1"/>
  <c r="N24" i="1"/>
  <c r="N28" i="1"/>
  <c r="AB11" i="1"/>
  <c r="AB10" i="1"/>
  <c r="AB9" i="1"/>
  <c r="AB8" i="1"/>
  <c r="AB17" i="1"/>
  <c r="O17" i="1"/>
  <c r="AB12" i="1"/>
  <c r="AB18" i="1"/>
  <c r="A1" i="1"/>
  <c r="O48" i="1"/>
  <c r="P24" i="1"/>
  <c r="P28" i="1"/>
  <c r="Q24" i="1"/>
  <c r="Q28" i="1"/>
  <c r="R24" i="1"/>
  <c r="R28" i="1"/>
  <c r="S24" i="1"/>
  <c r="S28" i="1"/>
  <c r="T24" i="1"/>
  <c r="T28" i="1"/>
  <c r="U24" i="1"/>
  <c r="U28" i="1"/>
  <c r="V24" i="1"/>
  <c r="V28" i="1"/>
  <c r="W24" i="1"/>
  <c r="W28" i="1"/>
  <c r="X24" i="1"/>
  <c r="X28" i="1"/>
  <c r="Y24" i="1"/>
  <c r="Y28" i="1"/>
  <c r="Z24" i="1"/>
  <c r="Z28" i="1"/>
  <c r="AA24" i="1"/>
  <c r="AA28" i="1"/>
  <c r="AB85" i="1"/>
  <c r="AB84" i="1"/>
  <c r="AB81" i="1"/>
  <c r="AB80" i="1"/>
  <c r="AB76" i="1"/>
  <c r="AB73" i="1"/>
  <c r="AB69" i="1"/>
  <c r="AB67" i="1"/>
  <c r="AB63" i="1"/>
  <c r="AB62" i="1"/>
  <c r="AB61" i="1"/>
  <c r="AB60" i="1"/>
  <c r="AB59" i="1"/>
  <c r="AB56" i="1"/>
  <c r="AB55" i="1"/>
  <c r="AB52" i="1"/>
  <c r="AB50" i="1"/>
  <c r="AB49" i="1"/>
  <c r="AB48" i="1"/>
  <c r="AB47" i="1"/>
  <c r="AB46" i="1"/>
  <c r="AB43" i="1"/>
  <c r="AB30" i="1"/>
  <c r="AB29" i="1"/>
  <c r="AB27" i="1"/>
  <c r="AB25" i="1"/>
  <c r="AB22" i="1"/>
  <c r="AB21" i="1"/>
  <c r="AB19" i="1"/>
  <c r="AB7" i="1"/>
  <c r="O71" i="1"/>
  <c r="O72" i="1"/>
  <c r="M1" i="2"/>
  <c r="C1" i="2"/>
  <c r="D1" i="2"/>
  <c r="E1" i="2"/>
  <c r="F1" i="2"/>
  <c r="G1" i="2"/>
  <c r="H1" i="2"/>
  <c r="I1" i="2"/>
  <c r="J1" i="2"/>
  <c r="K1" i="2"/>
  <c r="L1" i="2"/>
  <c r="B1" i="2"/>
  <c r="O84" i="1"/>
  <c r="O85" i="1"/>
  <c r="O80" i="1"/>
  <c r="O81" i="1"/>
  <c r="O73" i="1"/>
  <c r="O74" i="1"/>
  <c r="O75" i="1"/>
  <c r="O76" i="1"/>
  <c r="O67" i="1"/>
  <c r="O59" i="1"/>
  <c r="O60" i="1"/>
  <c r="O61" i="1"/>
  <c r="O62" i="1"/>
  <c r="O63" i="1"/>
  <c r="O52" i="1"/>
  <c r="O54" i="1"/>
  <c r="O55" i="1"/>
  <c r="O56" i="1"/>
  <c r="O43" i="1"/>
  <c r="O46" i="1"/>
  <c r="O47" i="1"/>
  <c r="O49" i="1"/>
  <c r="O50" i="1"/>
  <c r="O29" i="1"/>
  <c r="O30" i="1"/>
  <c r="O19" i="1"/>
  <c r="O20" i="1"/>
  <c r="D6" i="1" l="1"/>
  <c r="D4" i="1"/>
  <c r="D3" i="1"/>
  <c r="D5" i="1"/>
  <c r="R64" i="1"/>
  <c r="C6" i="1"/>
  <c r="P6" i="1" s="1"/>
  <c r="AB6" i="1" s="1"/>
  <c r="C3" i="1"/>
  <c r="P3" i="1" s="1"/>
  <c r="AB3" i="1" s="1"/>
  <c r="C5" i="1"/>
  <c r="P5" i="1" s="1"/>
  <c r="AB5" i="1" s="1"/>
  <c r="C4" i="1"/>
  <c r="P4" i="1" s="1"/>
  <c r="AB4" i="1" s="1"/>
  <c r="J68" i="1"/>
  <c r="F68" i="1"/>
  <c r="M68" i="1"/>
  <c r="K64" i="1"/>
  <c r="G68" i="1"/>
  <c r="AB70" i="1"/>
  <c r="S64" i="1"/>
  <c r="Q64" i="1"/>
  <c r="L64" i="1"/>
  <c r="O11" i="1"/>
  <c r="O16" i="1"/>
  <c r="O12" i="1"/>
  <c r="AB66" i="1"/>
  <c r="AB53" i="1"/>
  <c r="Y64" i="1"/>
  <c r="U64" i="1"/>
  <c r="K68" i="1"/>
  <c r="O66" i="1"/>
  <c r="O53" i="1"/>
  <c r="I64" i="1"/>
  <c r="O15" i="1"/>
  <c r="O14" i="1"/>
  <c r="O13" i="1"/>
  <c r="H32" i="1"/>
  <c r="H31" i="1" s="1"/>
  <c r="H35" i="1" s="1"/>
  <c r="O28" i="1"/>
  <c r="I68" i="1"/>
  <c r="G64" i="1"/>
  <c r="O69" i="1"/>
  <c r="N64" i="1"/>
  <c r="J64" i="1"/>
  <c r="H64" i="1"/>
  <c r="P64" i="1"/>
  <c r="X64" i="1"/>
  <c r="W64" i="1"/>
  <c r="AB71" i="1"/>
  <c r="AB72" i="1"/>
  <c r="K32" i="1"/>
  <c r="K31" i="1" s="1"/>
  <c r="K35" i="1" s="1"/>
  <c r="I32" i="1"/>
  <c r="I31" i="1" s="1"/>
  <c r="I35" i="1" s="1"/>
  <c r="G32" i="1"/>
  <c r="G31" i="1" s="1"/>
  <c r="G35" i="1" s="1"/>
  <c r="C7" i="2"/>
  <c r="C18" i="2" s="1"/>
  <c r="B18" i="2"/>
  <c r="AB28" i="1"/>
  <c r="T64" i="1"/>
  <c r="L68" i="1"/>
  <c r="H68" i="1"/>
  <c r="O65" i="1"/>
  <c r="O70" i="1"/>
  <c r="AA64" i="1"/>
  <c r="Z64" i="1"/>
  <c r="V64" i="1"/>
  <c r="N68" i="1"/>
  <c r="M64" i="1"/>
  <c r="O51" i="1"/>
  <c r="L32" i="1"/>
  <c r="L31" i="1" s="1"/>
  <c r="L35" i="1" s="1"/>
  <c r="F2" i="1"/>
  <c r="F32" i="1" s="1"/>
  <c r="F31" i="1" s="1"/>
  <c r="F35" i="1" s="1"/>
  <c r="M32" i="1"/>
  <c r="M31" i="1" s="1"/>
  <c r="M35" i="1" s="1"/>
  <c r="AB65" i="1"/>
  <c r="V68" i="1"/>
  <c r="W51" i="1"/>
  <c r="Q51" i="1"/>
  <c r="U51" i="1"/>
  <c r="Y51" i="1"/>
  <c r="R51" i="1"/>
  <c r="V51" i="1"/>
  <c r="Z51" i="1"/>
  <c r="S51" i="1"/>
  <c r="AA51" i="1"/>
  <c r="Z68" i="1"/>
  <c r="T51" i="1"/>
  <c r="Q68" i="1"/>
  <c r="AA68" i="1"/>
  <c r="X68" i="1"/>
  <c r="T68" i="1"/>
  <c r="R68" i="1"/>
  <c r="X51" i="1"/>
  <c r="Y68" i="1"/>
  <c r="W68" i="1"/>
  <c r="U68" i="1"/>
  <c r="S68" i="1"/>
  <c r="O18" i="1"/>
  <c r="J2" i="1"/>
  <c r="J32" i="1" s="1"/>
  <c r="J31" i="1" s="1"/>
  <c r="J35" i="1" s="1"/>
  <c r="C77" i="1"/>
  <c r="D83" i="1"/>
  <c r="D82" i="1" s="1"/>
  <c r="D86" i="1" s="1"/>
  <c r="C2" i="2" s="1"/>
  <c r="AB24" i="1"/>
  <c r="N32" i="1"/>
  <c r="N31" i="1" s="1"/>
  <c r="N35" i="1" s="1"/>
  <c r="D2" i="1" l="1"/>
  <c r="O5" i="1"/>
  <c r="O9" i="1"/>
  <c r="O64" i="1"/>
  <c r="F3" i="2"/>
  <c r="D7" i="2"/>
  <c r="D18" i="2" s="1"/>
  <c r="AB64" i="1"/>
  <c r="O68" i="1"/>
  <c r="O6" i="1"/>
  <c r="C2" i="1"/>
  <c r="C32" i="1" s="1"/>
  <c r="C31" i="1" s="1"/>
  <c r="C35" i="1" s="1"/>
  <c r="P68" i="1"/>
  <c r="AB68" i="1" s="1"/>
  <c r="AB75" i="1"/>
  <c r="E24" i="1"/>
  <c r="O25" i="1"/>
  <c r="D24" i="1"/>
  <c r="O27" i="1"/>
  <c r="P51" i="1"/>
  <c r="AB51" i="1" s="1"/>
  <c r="AB54" i="1"/>
  <c r="O10" i="1"/>
  <c r="O7" i="1"/>
  <c r="O4" i="1"/>
  <c r="O8" i="1"/>
  <c r="C83" i="1"/>
  <c r="C82" i="1" s="1"/>
  <c r="C86" i="1" s="1"/>
  <c r="G3" i="2" l="1"/>
  <c r="G57" i="1"/>
  <c r="G39" i="1"/>
  <c r="G78" i="1" s="1"/>
  <c r="G77" i="1" s="1"/>
  <c r="O21" i="1"/>
  <c r="O24" i="1"/>
  <c r="O3" i="1"/>
  <c r="D32" i="1"/>
  <c r="D31" i="1" s="1"/>
  <c r="D35" i="1" s="1"/>
  <c r="D89" i="1" s="1"/>
  <c r="B2" i="2"/>
  <c r="B6" i="2" s="1"/>
  <c r="C89" i="1"/>
  <c r="G83" i="1" l="1"/>
  <c r="G82" i="1" s="1"/>
  <c r="G86" i="1" s="1"/>
  <c r="H39" i="1"/>
  <c r="H78" i="1" s="1"/>
  <c r="H57" i="1"/>
  <c r="B17" i="2"/>
  <c r="B9" i="2"/>
  <c r="C6" i="2"/>
  <c r="O22" i="1" l="1"/>
  <c r="O23" i="1"/>
  <c r="E3" i="2"/>
  <c r="F2" i="2"/>
  <c r="G89" i="1"/>
  <c r="C9" i="2"/>
  <c r="C17" i="2"/>
  <c r="F39" i="1" l="1"/>
  <c r="F78" i="1" s="1"/>
  <c r="F77" i="1" s="1"/>
  <c r="E2" i="1"/>
  <c r="F57" i="1"/>
  <c r="E7" i="2"/>
  <c r="F83" i="1" l="1"/>
  <c r="F82" i="1" s="1"/>
  <c r="F86" i="1" s="1"/>
  <c r="F89" i="1" s="1"/>
  <c r="O2" i="1"/>
  <c r="H79" i="1"/>
  <c r="H77" i="1" s="1"/>
  <c r="H83" i="1" s="1"/>
  <c r="H82" i="1" s="1"/>
  <c r="H86" i="1" s="1"/>
  <c r="E79" i="1"/>
  <c r="N79" i="1"/>
  <c r="K79" i="1"/>
  <c r="E32" i="1"/>
  <c r="E31" i="1" s="1"/>
  <c r="H3" i="2"/>
  <c r="J57" i="1"/>
  <c r="I3" i="2"/>
  <c r="E18" i="2"/>
  <c r="F7" i="2"/>
  <c r="I39" i="1" l="1"/>
  <c r="E2" i="2"/>
  <c r="G2" i="2"/>
  <c r="H89" i="1"/>
  <c r="O79" i="1"/>
  <c r="E77" i="1"/>
  <c r="E83" i="1" s="1"/>
  <c r="E82" i="1" s="1"/>
  <c r="O31" i="1"/>
  <c r="E35" i="1"/>
  <c r="O35" i="1" s="1"/>
  <c r="R79" i="1"/>
  <c r="O32" i="1"/>
  <c r="U79" i="1"/>
  <c r="X79" i="1"/>
  <c r="AA79" i="1"/>
  <c r="I78" i="1"/>
  <c r="I57" i="1"/>
  <c r="F18" i="2"/>
  <c r="G7" i="2"/>
  <c r="J39" i="1"/>
  <c r="AB79" i="1" l="1"/>
  <c r="J3" i="2"/>
  <c r="L57" i="1"/>
  <c r="K3" i="2"/>
  <c r="J78" i="1"/>
  <c r="J77" i="1" s="1"/>
  <c r="J83" i="1" s="1"/>
  <c r="J82" i="1" s="1"/>
  <c r="J86" i="1" s="1"/>
  <c r="I77" i="1"/>
  <c r="H7" i="2"/>
  <c r="G18" i="2"/>
  <c r="E86" i="1"/>
  <c r="I2" i="2" l="1"/>
  <c r="J89" i="1"/>
  <c r="K39" i="1"/>
  <c r="K57" i="1"/>
  <c r="I83" i="1"/>
  <c r="I7" i="2"/>
  <c r="H18" i="2"/>
  <c r="L39" i="1"/>
  <c r="L78" i="1" s="1"/>
  <c r="L77" i="1" s="1"/>
  <c r="L83" i="1" s="1"/>
  <c r="L82" i="1" s="1"/>
  <c r="L86" i="1" s="1"/>
  <c r="D2" i="2"/>
  <c r="E89" i="1"/>
  <c r="O41" i="1" l="1"/>
  <c r="P57" i="1"/>
  <c r="O40" i="1"/>
  <c r="J7" i="2"/>
  <c r="I18" i="2"/>
  <c r="N57" i="1"/>
  <c r="M3" i="2"/>
  <c r="K78" i="1"/>
  <c r="L3" i="2"/>
  <c r="L89" i="1"/>
  <c r="K2" i="2"/>
  <c r="I82" i="1"/>
  <c r="D6" i="2"/>
  <c r="N3" i="2" l="1"/>
  <c r="O42" i="1"/>
  <c r="M39" i="1"/>
  <c r="M78" i="1" s="1"/>
  <c r="M77" i="1" s="1"/>
  <c r="Q57" i="1"/>
  <c r="O45" i="1"/>
  <c r="R57" i="1"/>
  <c r="O44" i="1"/>
  <c r="M57" i="1"/>
  <c r="O57" i="1" s="1"/>
  <c r="O58" i="1"/>
  <c r="N39" i="1"/>
  <c r="N78" i="1" s="1"/>
  <c r="N77" i="1" s="1"/>
  <c r="N83" i="1" s="1"/>
  <c r="N82" i="1" s="1"/>
  <c r="N86" i="1" s="1"/>
  <c r="I86" i="1"/>
  <c r="O3" i="2"/>
  <c r="K77" i="1"/>
  <c r="J18" i="2"/>
  <c r="K7" i="2"/>
  <c r="D9" i="2"/>
  <c r="D17" i="2"/>
  <c r="E6" i="2"/>
  <c r="O78" i="1" l="1"/>
  <c r="K83" i="1"/>
  <c r="O77" i="1"/>
  <c r="P3" i="2"/>
  <c r="N89" i="1"/>
  <c r="M2" i="2"/>
  <c r="L7" i="2"/>
  <c r="K18" i="2"/>
  <c r="P39" i="1"/>
  <c r="O39" i="1"/>
  <c r="I89" i="1"/>
  <c r="H2" i="2"/>
  <c r="M83" i="1"/>
  <c r="M82" i="1" s="1"/>
  <c r="M86" i="1" s="1"/>
  <c r="F6" i="2"/>
  <c r="E17" i="2"/>
  <c r="E9" i="2"/>
  <c r="Q39" i="1" l="1"/>
  <c r="Q78" i="1" s="1"/>
  <c r="Q77" i="1" s="1"/>
  <c r="Q83" i="1" s="1"/>
  <c r="Q82" i="1" s="1"/>
  <c r="Q86" i="1" s="1"/>
  <c r="S57" i="1"/>
  <c r="M7" i="2"/>
  <c r="L18" i="2"/>
  <c r="P78" i="1"/>
  <c r="Q3" i="2"/>
  <c r="M89" i="1"/>
  <c r="L2" i="2"/>
  <c r="T57" i="1"/>
  <c r="K82" i="1"/>
  <c r="O83" i="1"/>
  <c r="F17" i="2"/>
  <c r="F9" i="2"/>
  <c r="G6" i="2"/>
  <c r="P2" i="2" l="1"/>
  <c r="P77" i="1"/>
  <c r="K86" i="1"/>
  <c r="O82" i="1"/>
  <c r="R39" i="1"/>
  <c r="R3" i="2"/>
  <c r="U57" i="1"/>
  <c r="O7" i="2"/>
  <c r="M18" i="2"/>
  <c r="H6" i="2"/>
  <c r="G17" i="2"/>
  <c r="G9" i="2"/>
  <c r="S39" i="1" l="1"/>
  <c r="S78" i="1" s="1"/>
  <c r="S77" i="1" s="1"/>
  <c r="S83" i="1" s="1"/>
  <c r="S82" i="1" s="1"/>
  <c r="S86" i="1" s="1"/>
  <c r="S3" i="2"/>
  <c r="P83" i="1"/>
  <c r="P7" i="2"/>
  <c r="N18" i="2"/>
  <c r="J2" i="2"/>
  <c r="N2" i="2" s="1"/>
  <c r="B2" i="4" s="1"/>
  <c r="K89" i="1"/>
  <c r="O89" i="1" s="1"/>
  <c r="O86" i="1"/>
  <c r="R78" i="1"/>
  <c r="V57" i="1"/>
  <c r="H17" i="2"/>
  <c r="H9" i="2"/>
  <c r="I6" i="2"/>
  <c r="R2" i="2" l="1"/>
  <c r="T39" i="1"/>
  <c r="T78" i="1" s="1"/>
  <c r="T77" i="1" s="1"/>
  <c r="T83" i="1" s="1"/>
  <c r="T82" i="1" s="1"/>
  <c r="T86" i="1" s="1"/>
  <c r="B3" i="4"/>
  <c r="B4" i="4"/>
  <c r="C2" i="4"/>
  <c r="D2" i="4" s="1"/>
  <c r="E2" i="4" s="1"/>
  <c r="P82" i="1"/>
  <c r="T3" i="2"/>
  <c r="R77" i="1"/>
  <c r="W57" i="1"/>
  <c r="O18" i="2"/>
  <c r="Q7" i="2"/>
  <c r="I9" i="2"/>
  <c r="I17" i="2"/>
  <c r="J6" i="2"/>
  <c r="U39" i="1" l="1"/>
  <c r="U78" i="1" s="1"/>
  <c r="R83" i="1"/>
  <c r="P86" i="1"/>
  <c r="U3" i="2"/>
  <c r="X57" i="1"/>
  <c r="P18" i="2"/>
  <c r="R7" i="2"/>
  <c r="S2" i="2"/>
  <c r="J9" i="2"/>
  <c r="K6" i="2"/>
  <c r="J17" i="2"/>
  <c r="V39" i="1" l="1"/>
  <c r="V78" i="1" s="1"/>
  <c r="V77" i="1" s="1"/>
  <c r="V83" i="1" s="1"/>
  <c r="V82" i="1" s="1"/>
  <c r="V86" i="1" s="1"/>
  <c r="R82" i="1"/>
  <c r="S7" i="2"/>
  <c r="Q18" i="2"/>
  <c r="U77" i="1"/>
  <c r="Y57" i="1"/>
  <c r="V3" i="2"/>
  <c r="O2" i="2"/>
  <c r="L6" i="2"/>
  <c r="K17" i="2"/>
  <c r="K9" i="2"/>
  <c r="W39" i="1" l="1"/>
  <c r="W78" i="1" s="1"/>
  <c r="W77" i="1" s="1"/>
  <c r="W83" i="1" s="1"/>
  <c r="W82" i="1" s="1"/>
  <c r="W86" i="1" s="1"/>
  <c r="Z57" i="1"/>
  <c r="U2" i="2"/>
  <c r="T7" i="2"/>
  <c r="R18" i="2"/>
  <c r="U83" i="1"/>
  <c r="R86" i="1"/>
  <c r="W3" i="2"/>
  <c r="L17" i="2"/>
  <c r="L9" i="2"/>
  <c r="M6" i="2"/>
  <c r="X39" i="1" l="1"/>
  <c r="X78" i="1" s="1"/>
  <c r="X77" i="1" s="1"/>
  <c r="V2" i="2"/>
  <c r="X3" i="2"/>
  <c r="Q2" i="2"/>
  <c r="U7" i="2"/>
  <c r="S18" i="2"/>
  <c r="U82" i="1"/>
  <c r="O6" i="2"/>
  <c r="M9" i="2"/>
  <c r="M17" i="2"/>
  <c r="Y39" i="1" l="1"/>
  <c r="Y78" i="1" s="1"/>
  <c r="Y77" i="1" s="1"/>
  <c r="Y83" i="1" s="1"/>
  <c r="Y82" i="1" s="1"/>
  <c r="Y86" i="1" s="1"/>
  <c r="AA57" i="1"/>
  <c r="AB57" i="1" s="1"/>
  <c r="AB58" i="1"/>
  <c r="V7" i="2"/>
  <c r="T18" i="2"/>
  <c r="Y3" i="2"/>
  <c r="AB41" i="1"/>
  <c r="U86" i="1"/>
  <c r="X83" i="1"/>
  <c r="P6" i="2"/>
  <c r="N17" i="2"/>
  <c r="E11" i="2"/>
  <c r="H10" i="2"/>
  <c r="H11" i="2" s="1"/>
  <c r="Z39" i="1" l="1"/>
  <c r="Z78" i="1" s="1"/>
  <c r="Z77" i="1" s="1"/>
  <c r="X2" i="2"/>
  <c r="Z3" i="2"/>
  <c r="AB45" i="1"/>
  <c r="AB44" i="1"/>
  <c r="AB42" i="1"/>
  <c r="X82" i="1"/>
  <c r="AB40" i="1"/>
  <c r="U18" i="2"/>
  <c r="W7" i="2"/>
  <c r="T2" i="2"/>
  <c r="B6" i="4"/>
  <c r="B5" i="4" s="1"/>
  <c r="H13" i="2"/>
  <c r="H12" i="2"/>
  <c r="O17" i="2"/>
  <c r="Q6" i="2"/>
  <c r="Z83" i="1" l="1"/>
  <c r="V18" i="2"/>
  <c r="X7" i="2"/>
  <c r="X86" i="1"/>
  <c r="AA39" i="1"/>
  <c r="P17" i="2"/>
  <c r="R6" i="2"/>
  <c r="Y7" i="2" l="1"/>
  <c r="W18" i="2"/>
  <c r="W2" i="2"/>
  <c r="AA78" i="1"/>
  <c r="AB39" i="1"/>
  <c r="Z82" i="1"/>
  <c r="Q17" i="2"/>
  <c r="S6" i="2"/>
  <c r="Z86" i="1" l="1"/>
  <c r="AA77" i="1"/>
  <c r="AB78" i="1"/>
  <c r="Z7" i="2"/>
  <c r="Y18" i="2" s="1"/>
  <c r="X18" i="2"/>
  <c r="T6" i="2"/>
  <c r="R17" i="2"/>
  <c r="AA83" i="1" l="1"/>
  <c r="AB77" i="1"/>
  <c r="Y2" i="2"/>
  <c r="S17" i="2"/>
  <c r="U6" i="2"/>
  <c r="AA82" i="1" l="1"/>
  <c r="AB83" i="1"/>
  <c r="T17" i="2"/>
  <c r="V6" i="2"/>
  <c r="AA86" i="1" l="1"/>
  <c r="AB82" i="1"/>
  <c r="W6" i="2"/>
  <c r="U17" i="2"/>
  <c r="Z2" i="2" l="1"/>
  <c r="AB86" i="1"/>
  <c r="X6" i="2"/>
  <c r="V17" i="2"/>
  <c r="P2" i="1"/>
  <c r="W17" i="2" l="1"/>
  <c r="Y6" i="2"/>
  <c r="P32" i="1"/>
  <c r="P31" i="1" s="1"/>
  <c r="P35" i="1" s="1"/>
  <c r="Z6" i="2" l="1"/>
  <c r="Y17" i="2" s="1"/>
  <c r="X17" i="2"/>
  <c r="Q2" i="1"/>
  <c r="P89" i="1"/>
  <c r="Q32" i="1" l="1"/>
  <c r="Q31" i="1" s="1"/>
  <c r="R2" i="1" l="1"/>
  <c r="Q35" i="1"/>
  <c r="Q89" i="1" l="1"/>
  <c r="R32" i="1"/>
  <c r="R31" i="1" s="1"/>
  <c r="S2" i="1" l="1"/>
  <c r="R35" i="1"/>
  <c r="R89" i="1" l="1"/>
  <c r="S32" i="1"/>
  <c r="S31" i="1" s="1"/>
  <c r="T2" i="1" l="1"/>
  <c r="S35" i="1"/>
  <c r="S89" i="1" l="1"/>
  <c r="T32" i="1"/>
  <c r="T31" i="1" s="1"/>
  <c r="U2" i="1" l="1"/>
  <c r="T35" i="1"/>
  <c r="T89" i="1" l="1"/>
  <c r="V2" i="1"/>
  <c r="U32" i="1"/>
  <c r="U31" i="1" s="1"/>
  <c r="W2" i="1" l="1"/>
  <c r="V32" i="1"/>
  <c r="V31" i="1" s="1"/>
  <c r="V35" i="1" s="1"/>
  <c r="V89" i="1" s="1"/>
  <c r="U35" i="1"/>
  <c r="U89" i="1" l="1"/>
  <c r="W32" i="1"/>
  <c r="W31" i="1" s="1"/>
  <c r="W35" i="1" s="1"/>
  <c r="W89" i="1" s="1"/>
  <c r="X2" i="1"/>
  <c r="X32" i="1" l="1"/>
  <c r="X31" i="1" s="1"/>
  <c r="X35" i="1" s="1"/>
  <c r="X89" i="1" s="1"/>
  <c r="Y2" i="1"/>
  <c r="Z2" i="1" l="1"/>
  <c r="Y32" i="1"/>
  <c r="Y31" i="1" s="1"/>
  <c r="Y35" i="1" s="1"/>
  <c r="Y89" i="1" s="1"/>
  <c r="Z32" i="1" l="1"/>
  <c r="Z31" i="1" s="1"/>
  <c r="Z35" i="1" s="1"/>
  <c r="Z89" i="1" s="1"/>
  <c r="AA2" i="1" l="1"/>
  <c r="AB23" i="1"/>
  <c r="AA32" i="1" l="1"/>
  <c r="AA31" i="1" s="1"/>
  <c r="AB31" i="1" s="1"/>
  <c r="AB2" i="1"/>
  <c r="AB32" i="1" s="1"/>
  <c r="AA35" i="1" l="1"/>
  <c r="AA89" i="1" s="1"/>
  <c r="AB89" i="1" s="1"/>
  <c r="AB3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FADBCE-ABED-49F9-A285-332860BD6509}" keepAlive="1" name="Запрос — Table 0" description="Соединение с запросом &quot;Table 0&quot; в книге." type="5" refreshedVersion="6" background="1" saveData="1">
    <dbPr connection="Provider=Microsoft.Mashup.OleDb.1;Data Source=$Workbook$;Location=Table 0;Extended Properties=&quot;&quot;" command="SELECT * FROM [Table 0]"/>
  </connection>
</connections>
</file>

<file path=xl/sharedStrings.xml><?xml version="1.0" encoding="utf-8"?>
<sst xmlns="http://schemas.openxmlformats.org/spreadsheetml/2006/main" count="146" uniqueCount="92">
  <si>
    <t>რეგისტრაცია და პრეზენტაცია</t>
  </si>
  <si>
    <t>ნაღდი ფული გაუთვალისწინებელი (მოულოდნელი) ხარჯებისთვის</t>
  </si>
  <si>
    <t>ერთდროული ხარჯები:</t>
  </si>
  <si>
    <t>სულ ერთდროული ხარჯები</t>
  </si>
  <si>
    <t>მიმდინარე (განმეორებითი) ხარჯები:</t>
  </si>
  <si>
    <t>მთელი ხელფასი და წახალისება</t>
  </si>
  <si>
    <t>იჯარა</t>
  </si>
  <si>
    <t>მარკეტინგული ხარჯები</t>
  </si>
  <si>
    <t>სატრანსპორტო ხარჯები</t>
  </si>
  <si>
    <t>საექსპლუატაციო ხარჯები</t>
  </si>
  <si>
    <t>გადასახადები (სახელმწიფო და ადგილობრივი)</t>
  </si>
  <si>
    <t>გაუთვალისწინებელი (მოულოდნელი) ხარჯები</t>
  </si>
  <si>
    <t>სულ მიმდინარე ხარჯები</t>
  </si>
  <si>
    <t>სულ ხარჯები წარმოების მომზადებაზე და გაშვებაზე</t>
  </si>
  <si>
    <t>სულ</t>
  </si>
  <si>
    <t>ხარჯი</t>
  </si>
  <si>
    <t>შემოსავალი</t>
  </si>
  <si>
    <t>მიმდ ხარჯ</t>
  </si>
  <si>
    <t>მიმდ შემოს</t>
  </si>
  <si>
    <t>წაუგებლ. წერტ/</t>
  </si>
  <si>
    <t>საშემოსავლო გადასახადი</t>
  </si>
  <si>
    <t>გაუთვალისწინებელი ხარჯები 5%</t>
  </si>
  <si>
    <t>მოწყობილობა, ინვენტარი, მოძრავი ქონება</t>
  </si>
  <si>
    <t>სხვადასხვა სახის ერთდროული გადასახადელები</t>
  </si>
  <si>
    <t>მოგება</t>
  </si>
  <si>
    <t>რენტ დანახარჯებზე</t>
  </si>
  <si>
    <t>რენტ შემოსავლებზე</t>
  </si>
  <si>
    <t>რენტაბელობა ინვესტიციებზე</t>
  </si>
  <si>
    <t>წელიწადში საპროგნოზო</t>
  </si>
  <si>
    <t>მოთხოვნა ინვიესტიციებზე</t>
  </si>
  <si>
    <t>ლარი</t>
  </si>
  <si>
    <t>მოგების გადასახადი</t>
  </si>
  <si>
    <t>წმინდა მოგება თვე</t>
  </si>
  <si>
    <t>წმინდა მოგება წელი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</si>
  <si>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</si>
  <si>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</si>
  <si>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</si>
  <si>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</si>
  <si>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</si>
  <si>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</si>
  <si>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</si>
  <si>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</si>
  <si>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</si>
  <si>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</si>
  <si>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</si>
  <si>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</si>
  <si>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კომპანიის რეგისტრაცია</t>
  </si>
  <si>
    <t>კორპორატიული ნომრების მომსახურება</t>
  </si>
  <si>
    <t>ინტერნეტის მომსახურება</t>
  </si>
  <si>
    <t>სამეურნეო ხარჯები</t>
  </si>
  <si>
    <t>ზრდის %</t>
  </si>
  <si>
    <t>ქონების გადასახადი</t>
  </si>
  <si>
    <t>ბეჭედი</t>
  </si>
  <si>
    <t>მიმდინარე რემონტი</t>
  </si>
  <si>
    <t>საკანცელარიო ხარჯები</t>
  </si>
  <si>
    <t>Column1</t>
  </si>
  <si>
    <t>Column2</t>
  </si>
  <si>
    <t>Column3</t>
  </si>
  <si>
    <t>Column5</t>
  </si>
  <si>
    <t>EUR</t>
  </si>
  <si>
    <t>1 ევრო</t>
  </si>
  <si>
    <t>USD</t>
  </si>
  <si>
    <t>1 აშშ დოლარი</t>
  </si>
  <si>
    <t>კომუნალური ხარჯები (ელ ენერგია, წყალი, დასუფთავება)</t>
  </si>
  <si>
    <t xml:space="preserve">ექოსკოპი ციფრული პორტატული (მრავალფუნქციური) მწარმოებელი: Sonostar მოდელი: U-5c convex ქვეყანა: ჩინეთი პლანშეტი </t>
  </si>
  <si>
    <t xml:space="preserve">ელექტროკარდიოგრაფი მწარმოებელი: Comen მოდელი: CM300, 3 არხიანი ქვეყანა: ჩინეთი                             </t>
  </si>
  <si>
    <t xml:space="preserve">პაციენტის მონიტორი მწარმოებელი: Comen მოდელი: Star 8000A, 5 პარამეტრიანი  ქვეყანა: ჩინეთი </t>
  </si>
  <si>
    <t>AMD Global Telemedicine-ის სპირომეტრი სტეტოსკოპი ოტოსკოპი, დერმასკოპი, ზოგადი ვიზუალიზაციისთავაკი ოფთალმოსკოპი AMD Global Telemedicine-ის ტელემედიცინის პროგრამა(ფასში შედის 4,5 საათი ონლაინ ტრეინინგი)</t>
  </si>
  <si>
    <t>ლაბორატორიის სახარჯი მასალების საწყისი მარაგები</t>
  </si>
  <si>
    <t>მომსახურე თანამშრომლების მომზადება</t>
  </si>
  <si>
    <t>მენეჯმენტის ხარჯი</t>
  </si>
  <si>
    <t>ექიმის ხელფასი</t>
  </si>
  <si>
    <t>ექთნის ხელფასი </t>
  </si>
  <si>
    <t>ვიწრო სპეცილისტების ანაზრაურება</t>
  </si>
  <si>
    <t>IT მომსახურება</t>
  </si>
  <si>
    <t>ამბულატორიის იჯარა</t>
  </si>
  <si>
    <t>ბრენდინგი და მარკეტინგული სტრატეგია</t>
  </si>
  <si>
    <t>საწვავი ადგილზე მონიტორინგისთვის</t>
  </si>
  <si>
    <t>სახარჯი მასალები</t>
  </si>
  <si>
    <t>პრინტერი</t>
  </si>
  <si>
    <t>კომპიუტერი</t>
  </si>
  <si>
    <t>მონტაჟის ხარჯი</t>
  </si>
  <si>
    <t>ტრანსპორტირების ხარჯი</t>
  </si>
  <si>
    <t>საიტის დამზადების ხარჯი</t>
  </si>
  <si>
    <t>შემოსავლები</t>
  </si>
  <si>
    <t>კაპიტაცია</t>
  </si>
  <si>
    <t>სადაზღვეო კაპიტაცია</t>
  </si>
  <si>
    <t>თანაგადახდა პაციენტის</t>
  </si>
  <si>
    <t>სამედიცინო ტურიზმი</t>
  </si>
  <si>
    <t>სოფლის ექიმის პროგრამიდან სახემწიფო გადახდები</t>
  </si>
  <si>
    <t>სულ შემოსავალი</t>
  </si>
  <si>
    <t>პროგრამის განხორციელებიდან მირებული ეფექტი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</si>
</sst>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;[Red]0.00"/>
    <numFmt numFmtId="165" formatCode="0;[Red]0"/>
    <numFmt numFmtId="166" formatCode="0.0%"/>
    <numFmt numFmtId="167" formatCode="0.00_ ;[Red]\-0.00\ "/>
    <numFmt numFmtId="168" formatCode="0.00000%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cadNusx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cadNusx"/>
    </font>
    <font>
      <sz val="10"/>
      <color theme="1"/>
      <name val="AcadNusx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Sylfaen"/>
      <family val="1"/>
    </font>
    <font>
      <sz val="10"/>
      <color rgb="FF222222"/>
      <name val="Sylfae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8">
    <xf numFmtId="0" fontId="0" fillId="0" borderId="0" xfId="0"/>
    <xf numFmtId="164" fontId="4" fillId="0" borderId="1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164" fontId="8" fillId="2" borderId="5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164" fontId="9" fillId="2" borderId="6" xfId="0" applyNumberFormat="1" applyFont="1" applyFill="1" applyBorder="1" applyAlignment="1">
      <alignment wrapText="1"/>
    </xf>
    <xf numFmtId="164" fontId="8" fillId="0" borderId="5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9" fillId="0" borderId="11" xfId="0" applyNumberFormat="1" applyFont="1" applyBorder="1" applyAlignment="1">
      <alignment wrapText="1"/>
    </xf>
    <xf numFmtId="164" fontId="7" fillId="2" borderId="5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8" fillId="0" borderId="0" xfId="0" applyNumberFormat="1" applyFont="1" applyAlignment="1">
      <alignment wrapText="1"/>
    </xf>
    <xf numFmtId="164" fontId="11" fillId="0" borderId="1" xfId="0" applyNumberFormat="1" applyFont="1" applyBorder="1" applyAlignment="1">
      <alignment wrapText="1"/>
    </xf>
    <xf numFmtId="0" fontId="6" fillId="0" borderId="1" xfId="0" applyFont="1" applyBorder="1"/>
    <xf numFmtId="1" fontId="1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66" fontId="0" fillId="0" borderId="1" xfId="1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164" fontId="13" fillId="0" borderId="5" xfId="0" applyNumberFormat="1" applyFont="1" applyBorder="1" applyAlignment="1">
      <alignment wrapText="1"/>
    </xf>
    <xf numFmtId="9" fontId="0" fillId="0" borderId="0" xfId="1" applyFont="1" applyAlignment="1">
      <alignment wrapText="1"/>
    </xf>
    <xf numFmtId="0" fontId="14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9" fontId="15" fillId="0" borderId="0" xfId="1" applyFont="1" applyAlignment="1">
      <alignment wrapText="1"/>
    </xf>
    <xf numFmtId="9" fontId="15" fillId="0" borderId="1" xfId="1" applyFont="1" applyBorder="1" applyAlignment="1">
      <alignment wrapText="1"/>
    </xf>
    <xf numFmtId="167" fontId="0" fillId="0" borderId="0" xfId="0" applyNumberFormat="1" applyAlignment="1">
      <alignment wrapText="1"/>
    </xf>
    <xf numFmtId="167" fontId="0" fillId="0" borderId="1" xfId="0" applyNumberFormat="1" applyBorder="1" applyAlignment="1">
      <alignment wrapText="1"/>
    </xf>
    <xf numFmtId="165" fontId="6" fillId="0" borderId="1" xfId="0" applyNumberFormat="1" applyFont="1" applyBorder="1" applyAlignment="1">
      <alignment horizontal="center" wrapText="1"/>
    </xf>
    <xf numFmtId="9" fontId="6" fillId="0" borderId="1" xfId="1" applyFont="1" applyBorder="1" applyAlignment="1">
      <alignment wrapText="1"/>
    </xf>
    <xf numFmtId="10" fontId="6" fillId="0" borderId="1" xfId="1" applyNumberFormat="1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horizontal="center" wrapText="1"/>
    </xf>
    <xf numFmtId="165" fontId="16" fillId="0" borderId="0" xfId="0" applyNumberFormat="1" applyFont="1" applyAlignment="1">
      <alignment horizontal="center" vertical="center" wrapText="1"/>
    </xf>
    <xf numFmtId="164" fontId="16" fillId="0" borderId="1" xfId="0" applyNumberFormat="1" applyFont="1" applyBorder="1" applyAlignment="1">
      <alignment wrapText="1"/>
    </xf>
    <xf numFmtId="164" fontId="16" fillId="0" borderId="0" xfId="0" applyNumberFormat="1" applyFont="1" applyAlignment="1">
      <alignment wrapText="1"/>
    </xf>
    <xf numFmtId="9" fontId="16" fillId="0" borderId="1" xfId="1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164" fontId="8" fillId="3" borderId="1" xfId="0" applyNumberFormat="1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168" fontId="6" fillId="0" borderId="0" xfId="0" applyNumberFormat="1" applyFont="1" applyAlignment="1">
      <alignment wrapText="1"/>
    </xf>
    <xf numFmtId="164" fontId="17" fillId="0" borderId="0" xfId="0" applyNumberFormat="1" applyFont="1" applyAlignment="1">
      <alignment wrapText="1"/>
    </xf>
    <xf numFmtId="0" fontId="3" fillId="0" borderId="1" xfId="0" applyFont="1" applyBorder="1"/>
    <xf numFmtId="164" fontId="8" fillId="3" borderId="5" xfId="0" applyNumberFormat="1" applyFont="1" applyFill="1" applyBorder="1" applyAlignment="1">
      <alignment wrapText="1"/>
    </xf>
    <xf numFmtId="2" fontId="0" fillId="0" borderId="0" xfId="1" applyNumberFormat="1" applyFont="1" applyAlignment="1">
      <alignment wrapText="1"/>
    </xf>
    <xf numFmtId="2" fontId="0" fillId="0" borderId="0" xfId="0" applyNumberFormat="1" applyAlignment="1">
      <alignment wrapText="1"/>
    </xf>
    <xf numFmtId="2" fontId="14" fillId="0" borderId="1" xfId="0" applyNumberFormat="1" applyFont="1" applyBorder="1" applyAlignment="1">
      <alignment wrapText="1"/>
    </xf>
    <xf numFmtId="0" fontId="2" fillId="0" borderId="1" xfId="0" applyFont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164" fontId="1" fillId="0" borderId="5" xfId="0" applyNumberFormat="1" applyFont="1" applyBorder="1" applyAlignment="1">
      <alignment wrapText="1"/>
    </xf>
    <xf numFmtId="2" fontId="18" fillId="0" borderId="0" xfId="0" applyNumberFormat="1" applyFont="1" applyAlignment="1">
      <alignment wrapText="1"/>
    </xf>
    <xf numFmtId="2" fontId="19" fillId="0" borderId="0" xfId="0" applyNumberFormat="1" applyFont="1" applyAlignment="1">
      <alignment wrapText="1"/>
    </xf>
    <xf numFmtId="164" fontId="20" fillId="0" borderId="1" xfId="0" applyNumberFormat="1" applyFont="1" applyBorder="1" applyAlignment="1">
      <alignment wrapText="1"/>
    </xf>
    <xf numFmtId="164" fontId="20" fillId="0" borderId="5" xfId="0" applyNumberFormat="1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wrapText="1"/>
    </xf>
    <xf numFmtId="0" fontId="6" fillId="3" borderId="1" xfId="0" applyFont="1" applyFill="1" applyBorder="1"/>
    <xf numFmtId="0" fontId="1" fillId="3" borderId="1" xfId="0" applyFont="1" applyFill="1" applyBorder="1"/>
    <xf numFmtId="164" fontId="1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164" fontId="23" fillId="0" borderId="1" xfId="0" applyNumberFormat="1" applyFont="1" applyBorder="1" applyAlignment="1">
      <alignment wrapText="1"/>
    </xf>
    <xf numFmtId="164" fontId="9" fillId="0" borderId="0" xfId="0" applyNumberFormat="1" applyFont="1" applyAlignment="1">
      <alignment wrapText="1"/>
    </xf>
    <xf numFmtId="4" fontId="6" fillId="0" borderId="0" xfId="0" applyNumberFormat="1" applyFont="1" applyAlignment="1">
      <alignment horizontal="center" vertical="center" wrapText="1"/>
    </xf>
    <xf numFmtId="4" fontId="8" fillId="0" borderId="1" xfId="0" applyNumberFormat="1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4" fontId="6" fillId="0" borderId="0" xfId="0" applyNumberFormat="1" applyFont="1" applyAlignment="1">
      <alignment wrapText="1"/>
    </xf>
    <xf numFmtId="4" fontId="9" fillId="0" borderId="0" xfId="0" applyNumberFormat="1" applyFont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4" fontId="9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16" fillId="0" borderId="0" xfId="0" applyNumberFormat="1" applyFont="1" applyAlignment="1">
      <alignment wrapText="1"/>
    </xf>
    <xf numFmtId="4" fontId="7" fillId="0" borderId="7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4" fontId="9" fillId="2" borderId="6" xfId="0" applyNumberFormat="1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წაუგებლობა!$A$6</c:f>
              <c:strCache>
                <c:ptCount val="1"/>
                <c:pt idx="0">
                  <c:v>მიმდ ხარჯ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წაუგებლობა!$B$5:$M$5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წაუგებლობა!$B$6:$M$6</c:f>
              <c:numCache>
                <c:formatCode>0</c:formatCode>
                <c:ptCount val="12"/>
                <c:pt idx="0">
                  <c:v>4786.578125</c:v>
                </c:pt>
                <c:pt idx="1">
                  <c:v>50098.453125</c:v>
                </c:pt>
                <c:pt idx="2">
                  <c:v>97555.497893874999</c:v>
                </c:pt>
                <c:pt idx="3">
                  <c:v>142867.372893875</c:v>
                </c:pt>
                <c:pt idx="4">
                  <c:v>188179.247893875</c:v>
                </c:pt>
                <c:pt idx="5">
                  <c:v>235636.29266275</c:v>
                </c:pt>
                <c:pt idx="6">
                  <c:v>280948.16766275</c:v>
                </c:pt>
                <c:pt idx="7">
                  <c:v>326260.04266275</c:v>
                </c:pt>
                <c:pt idx="8">
                  <c:v>373717.087431625</c:v>
                </c:pt>
                <c:pt idx="9">
                  <c:v>419028.962431625</c:v>
                </c:pt>
                <c:pt idx="10">
                  <c:v>464340.837431625</c:v>
                </c:pt>
                <c:pt idx="11">
                  <c:v>511797.8822005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6-4F66-80E0-31532DC48882}"/>
            </c:ext>
          </c:extLst>
        </c:ser>
        <c:ser>
          <c:idx val="1"/>
          <c:order val="1"/>
          <c:tx>
            <c:strRef>
              <c:f>წაუგებლობა!$A$7</c:f>
              <c:strCache>
                <c:ptCount val="1"/>
                <c:pt idx="0">
                  <c:v>მიმდ შემოს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წაუგებლობა!$B$5:$M$5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წაუგებლობა!$B$7:$M$7</c:f>
              <c:numCache>
                <c:formatCode>0</c:formatCode>
                <c:ptCount val="12"/>
                <c:pt idx="0">
                  <c:v>16047.916666666664</c:v>
                </c:pt>
                <c:pt idx="1">
                  <c:v>99131.249999999971</c:v>
                </c:pt>
                <c:pt idx="2">
                  <c:v>182214.58333333328</c:v>
                </c:pt>
                <c:pt idx="3">
                  <c:v>265297.91666666663</c:v>
                </c:pt>
                <c:pt idx="4">
                  <c:v>348381.24999999994</c:v>
                </c:pt>
                <c:pt idx="5">
                  <c:v>431464.58333333326</c:v>
                </c:pt>
                <c:pt idx="6">
                  <c:v>514547.91666666657</c:v>
                </c:pt>
                <c:pt idx="7">
                  <c:v>597631.24999999988</c:v>
                </c:pt>
                <c:pt idx="8">
                  <c:v>680714.58333333326</c:v>
                </c:pt>
                <c:pt idx="9">
                  <c:v>763797.91666666651</c:v>
                </c:pt>
                <c:pt idx="10">
                  <c:v>846881.24999999977</c:v>
                </c:pt>
                <c:pt idx="11">
                  <c:v>929964.58333333302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6-4F66-80E0-31532DC48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28608"/>
        <c:axId val="964435232"/>
      </c:lineChart>
      <c:catAx>
        <c:axId val="964428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435232"/>
        <c:crosses val="autoZero"/>
        <c:auto val="1"/>
        <c:lblAlgn val="ctr"/>
        <c:lblOffset val="100"/>
        <c:noMultiLvlLbl val="0"/>
      </c:catAx>
      <c:valAx>
        <c:axId val="96443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42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ka-GE"/>
              <a:t>ორი წლის გათვლა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წაუგებლობა!$A$17</c:f>
              <c:strCache>
                <c:ptCount val="1"/>
                <c:pt idx="0">
                  <c:v>მიმდ ხარჯ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წაუგებლობა!$B$17:$Y$17</c:f>
              <c:numCache>
                <c:formatCode>0</c:formatCode>
                <c:ptCount val="24"/>
                <c:pt idx="0">
                  <c:v>4786.578125</c:v>
                </c:pt>
                <c:pt idx="1">
                  <c:v>50098.453125</c:v>
                </c:pt>
                <c:pt idx="2">
                  <c:v>97555.497893874999</c:v>
                </c:pt>
                <c:pt idx="3">
                  <c:v>142867.372893875</c:v>
                </c:pt>
                <c:pt idx="4">
                  <c:v>188179.247893875</c:v>
                </c:pt>
                <c:pt idx="5">
                  <c:v>235636.29266275</c:v>
                </c:pt>
                <c:pt idx="6">
                  <c:v>280948.16766275</c:v>
                </c:pt>
                <c:pt idx="7">
                  <c:v>326260.04266275</c:v>
                </c:pt>
                <c:pt idx="8">
                  <c:v>373717.087431625</c:v>
                </c:pt>
                <c:pt idx="9">
                  <c:v>419028.962431625</c:v>
                </c:pt>
                <c:pt idx="10">
                  <c:v>464340.837431625</c:v>
                </c:pt>
                <c:pt idx="11">
                  <c:v>511797.8822005</c:v>
                </c:pt>
                <c:pt idx="12">
                  <c:v>647208.5072005</c:v>
                </c:pt>
                <c:pt idx="13">
                  <c:v>782619.1322005</c:v>
                </c:pt>
                <c:pt idx="14">
                  <c:v>919745.89301560004</c:v>
                </c:pt>
                <c:pt idx="15">
                  <c:v>1055156.5180156</c:v>
                </c:pt>
                <c:pt idx="16">
                  <c:v>1190567.1430156</c:v>
                </c:pt>
                <c:pt idx="17">
                  <c:v>1327693.9038307001</c:v>
                </c:pt>
                <c:pt idx="18">
                  <c:v>1463104.5288307001</c:v>
                </c:pt>
                <c:pt idx="19">
                  <c:v>1598515.1538307001</c:v>
                </c:pt>
                <c:pt idx="20">
                  <c:v>1735641.9146458001</c:v>
                </c:pt>
                <c:pt idx="21">
                  <c:v>1871052.5396458001</c:v>
                </c:pt>
                <c:pt idx="22">
                  <c:v>2006463.1646458001</c:v>
                </c:pt>
                <c:pt idx="23">
                  <c:v>2143589.9254609002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F57-85A7-F3B30AC8C1BB}"/>
            </c:ext>
          </c:extLst>
        </c:ser>
        <c:ser>
          <c:idx val="1"/>
          <c:order val="1"/>
          <c:tx>
            <c:strRef>
              <c:f>წაუგებლობა!$A$18</c:f>
              <c:strCache>
                <c:ptCount val="1"/>
                <c:pt idx="0">
                  <c:v>მიმდ შემოს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წაუგებლობა!$B$18:$Y$18</c:f>
              <c:numCache>
                <c:formatCode>0</c:formatCode>
                <c:ptCount val="24"/>
                <c:pt idx="0">
                  <c:v>16047.916666666664</c:v>
                </c:pt>
                <c:pt idx="1">
                  <c:v>99131.249999999971</c:v>
                </c:pt>
                <c:pt idx="2">
                  <c:v>182214.58333333328</c:v>
                </c:pt>
                <c:pt idx="3">
                  <c:v>265297.91666666663</c:v>
                </c:pt>
                <c:pt idx="4">
                  <c:v>348381.24999999994</c:v>
                </c:pt>
                <c:pt idx="5">
                  <c:v>431464.58333333326</c:v>
                </c:pt>
                <c:pt idx="6">
                  <c:v>514547.91666666657</c:v>
                </c:pt>
                <c:pt idx="7">
                  <c:v>597631.24999999988</c:v>
                </c:pt>
                <c:pt idx="8">
                  <c:v>680714.58333333326</c:v>
                </c:pt>
                <c:pt idx="9">
                  <c:v>763797.91666666651</c:v>
                </c:pt>
                <c:pt idx="10">
                  <c:v>846881.24999999977</c:v>
                </c:pt>
                <c:pt idx="11">
                  <c:v>929964.58333333302</c:v>
                </c:pt>
                <c:pt idx="12">
                  <c:v>1179214.583333333</c:v>
                </c:pt>
                <c:pt idx="13">
                  <c:v>1428464.583333333</c:v>
                </c:pt>
                <c:pt idx="14">
                  <c:v>1677714.583333333</c:v>
                </c:pt>
                <c:pt idx="15">
                  <c:v>1926964.583333333</c:v>
                </c:pt>
                <c:pt idx="16">
                  <c:v>2176214.583333333</c:v>
                </c:pt>
                <c:pt idx="17">
                  <c:v>2425464.583333333</c:v>
                </c:pt>
                <c:pt idx="18">
                  <c:v>2674714.583333333</c:v>
                </c:pt>
                <c:pt idx="19">
                  <c:v>2923964.583333333</c:v>
                </c:pt>
                <c:pt idx="20">
                  <c:v>3173214.583333333</c:v>
                </c:pt>
                <c:pt idx="21">
                  <c:v>3422464.583333333</c:v>
                </c:pt>
                <c:pt idx="22">
                  <c:v>3671714.583333333</c:v>
                </c:pt>
                <c:pt idx="23">
                  <c:v>3920964.583333333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F57-85A7-F3B30AC8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86336"/>
        <c:axId val="964488704"/>
      </c:lineChart>
      <c:catAx>
        <c:axId val="96448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488704"/>
        <c:crosses val="autoZero"/>
        <c:auto val="1"/>
        <c:lblAlgn val="ctr"/>
        <c:lblOffset val="100"/>
        <c:noMultiLvlLbl val="0"/>
      </c:catAx>
      <c:valAx>
        <c:axId val="964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4863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წაუგებლობა!$A$2</c:f>
              <c:strCache>
                <c:ptCount val="1"/>
                <c:pt idx="0">
                  <c:v>ხარჯი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წაუგებლობა!$B$2:$M$2</c:f>
              <c:numCache>
                <c:formatCode>0</c:formatCode>
                <c:ptCount val="12"/>
                <c:pt idx="0">
                  <c:v>4786.578125</c:v>
                </c:pt>
                <c:pt idx="1">
                  <c:v>45311.875</c:v>
                </c:pt>
                <c:pt idx="2">
                  <c:v>47457.044768874999</c:v>
                </c:pt>
                <c:pt idx="3">
                  <c:v>45311.875</c:v>
                </c:pt>
                <c:pt idx="4">
                  <c:v>45311.875</c:v>
                </c:pt>
                <c:pt idx="5">
                  <c:v>47457.044768874999</c:v>
                </c:pt>
                <c:pt idx="6">
                  <c:v>45311.875</c:v>
                </c:pt>
                <c:pt idx="7">
                  <c:v>45311.875</c:v>
                </c:pt>
                <c:pt idx="8">
                  <c:v>47457.044768874999</c:v>
                </c:pt>
                <c:pt idx="9">
                  <c:v>45311.875</c:v>
                </c:pt>
                <c:pt idx="10">
                  <c:v>45311.875</c:v>
                </c:pt>
                <c:pt idx="11">
                  <c:v>47457.044768874999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B-4381-AFAD-2A86BB8C844E}"/>
            </c:ext>
          </c:extLst>
        </c:ser>
        <c:ser>
          <c:idx val="1"/>
          <c:order val="1"/>
          <c:tx>
            <c:strRef>
              <c:f>წაუგებლობა!$A$3</c:f>
              <c:strCache>
                <c:ptCount val="1"/>
                <c:pt idx="0">
                  <c:v>შემოსავალი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წაუგებლობა!$B$3:$M$3</c:f>
              <c:numCache>
                <c:formatCode>General</c:formatCode>
                <c:ptCount val="12"/>
                <c:pt idx="0">
                  <c:v>16047.916666666664</c:v>
                </c:pt>
                <c:pt idx="1">
                  <c:v>83083.333333333314</c:v>
                </c:pt>
                <c:pt idx="2">
                  <c:v>83083.333333333314</c:v>
                </c:pt>
                <c:pt idx="3" formatCode="0.00">
                  <c:v>83083.333333333314</c:v>
                </c:pt>
                <c:pt idx="4" formatCode="0.00">
                  <c:v>83083.333333333314</c:v>
                </c:pt>
                <c:pt idx="5" formatCode="0.00">
                  <c:v>83083.333333333314</c:v>
                </c:pt>
                <c:pt idx="6" formatCode="0.00">
                  <c:v>83083.333333333314</c:v>
                </c:pt>
                <c:pt idx="7" formatCode="0.00">
                  <c:v>83083.333333333314</c:v>
                </c:pt>
                <c:pt idx="8" formatCode="0.00">
                  <c:v>83083.333333333314</c:v>
                </c:pt>
                <c:pt idx="9" formatCode="0.00">
                  <c:v>83083.333333333314</c:v>
                </c:pt>
                <c:pt idx="10" formatCode="0.00">
                  <c:v>83083.333333333314</c:v>
                </c:pt>
                <c:pt idx="11" formatCode="0.00">
                  <c:v>83083.333333333314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6B-4381-AFAD-2A86BB8C8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4543152"/>
        <c:axId val="964549440"/>
      </c:barChart>
      <c:catAx>
        <c:axId val="96454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549440"/>
        <c:crosses val="autoZero"/>
        <c:auto val="1"/>
        <c:lblAlgn val="ctr"/>
        <c:lblOffset val="100"/>
        <c:noMultiLvlLbl val="0"/>
      </c:catAx>
      <c:valAx>
        <c:axId val="9645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54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25" right="0.25" top="0.75" bottom="0.75" header="0.3" footer="0.3"/>
  <pageSetup paperSize="9" orientation="landscape" verticalDpi="4294967295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092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91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719" cy="607218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C5C6DC9-EE53-4F35-AFA7-738EFCCCD1C1}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5"/>
      <queryTableField id="2" name="Column2" tableColumnId="2"/>
      <queryTableField id="3" name="Column3" tableColumnId="3"/>
      <queryTableField id="4" name="Column5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32A8E8-EE30-4BB5-B300-E01A3FD16589}" name="Table_0" displayName="Table_0" ref="A1:D3" tableType="queryTable" totalsRowShown="0">
  <autoFilter ref="A1:D3" xr:uid="{0DBD5C47-5FC6-480E-9730-2F73C57C3E83}"/>
  <tableColumns count="4">
    <tableColumn id="5" xr3:uid="{03AD9C5F-B48C-420D-B9ED-259FA2E70FE9}" uniqueName="5" name="Column1" queryTableFieldId="1" dataDxfId="3"/>
    <tableColumn id="2" xr3:uid="{7272D4E4-B674-4B98-9E52-87C80EB2C549}" uniqueName="2" name="Column2" queryTableFieldId="2" dataDxfId="2"/>
    <tableColumn id="3" xr3:uid="{6D0DD4A0-088B-4437-9FB8-56D3D484CBE0}" uniqueName="3" name="Column3" queryTableFieldId="3" dataDxfId="1"/>
    <tableColumn id="4" xr3:uid="{0E31A2DC-4F27-4148-B1E7-35AF1C6D0561}" uniqueName="4" name="Column5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B111"/>
  <sheetViews>
    <sheetView zoomScaleNormal="100" zoomScalePageLayoutView="130" workbookViewId="0">
      <pane xSplit="2" ySplit="1" topLeftCell="C61" activePane="bottomRight" state="frozen"/>
      <selection pane="topRight" activeCell="C1" sqref="C1"/>
      <selection pane="bottomLeft" activeCell="A2" sqref="A2"/>
      <selection pane="bottomRight" activeCell="J92" sqref="J92"/>
    </sheetView>
  </sheetViews>
  <sheetFormatPr baseColWidth="10" defaultColWidth="9.1640625" defaultRowHeight="14" outlineLevelRow="1" x14ac:dyDescent="0.2"/>
  <cols>
    <col min="1" max="1" width="5.1640625" style="2" bestFit="1" customWidth="1"/>
    <col min="2" max="2" width="46.83203125" style="19" customWidth="1"/>
    <col min="3" max="3" width="9.83203125" style="6" bestFit="1" customWidth="1"/>
    <col min="4" max="4" width="10.83203125" style="6" bestFit="1" customWidth="1"/>
    <col min="5" max="6" width="9.83203125" style="6" bestFit="1" customWidth="1"/>
    <col min="7" max="14" width="11" style="6" bestFit="1" customWidth="1"/>
    <col min="15" max="15" width="10.83203125" style="6" bestFit="1" customWidth="1"/>
    <col min="16" max="24" width="11" style="6" bestFit="1" customWidth="1"/>
    <col min="25" max="27" width="10.33203125" style="6" bestFit="1" customWidth="1"/>
    <col min="28" max="28" width="11.6640625" style="6" bestFit="1" customWidth="1"/>
    <col min="29" max="16384" width="9.1640625" style="6"/>
  </cols>
  <sheetData>
    <row r="1" spans="1:28" ht="22.5" customHeight="1" x14ac:dyDescent="0.2">
      <c r="A1" s="52">
        <f>Лист1!C2</f>
        <v>3.0407000000000002</v>
      </c>
      <c r="B1" s="3" t="s">
        <v>2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 t="s">
        <v>40</v>
      </c>
      <c r="J1" s="4" t="s">
        <v>41</v>
      </c>
      <c r="K1" s="4" t="s">
        <v>42</v>
      </c>
      <c r="L1" s="4" t="s">
        <v>43</v>
      </c>
      <c r="M1" s="4" t="s">
        <v>44</v>
      </c>
      <c r="N1" s="4" t="s">
        <v>45</v>
      </c>
      <c r="O1" s="5" t="s">
        <v>14</v>
      </c>
      <c r="P1" s="4" t="s">
        <v>34</v>
      </c>
      <c r="Q1" s="4" t="s">
        <v>35</v>
      </c>
      <c r="R1" s="4" t="s">
        <v>36</v>
      </c>
      <c r="S1" s="4" t="s">
        <v>37</v>
      </c>
      <c r="T1" s="4" t="s">
        <v>38</v>
      </c>
      <c r="U1" s="4" t="s">
        <v>39</v>
      </c>
      <c r="V1" s="4" t="s">
        <v>40</v>
      </c>
      <c r="W1" s="4" t="s">
        <v>41</v>
      </c>
      <c r="X1" s="4" t="s">
        <v>42</v>
      </c>
      <c r="Y1" s="4" t="s">
        <v>43</v>
      </c>
      <c r="Z1" s="4" t="s">
        <v>44</v>
      </c>
      <c r="AA1" s="4" t="s">
        <v>45</v>
      </c>
    </row>
    <row r="2" spans="1:28" ht="15" x14ac:dyDescent="0.2">
      <c r="B2" s="7" t="s">
        <v>22</v>
      </c>
      <c r="C2" s="8">
        <f t="shared" ref="C2:N2" si="0">SUM(C3:C23)</f>
        <v>82570.753100000002</v>
      </c>
      <c r="D2" s="8">
        <f t="shared" si="0"/>
        <v>734636.77789999999</v>
      </c>
      <c r="E2" s="8">
        <f t="shared" si="0"/>
        <v>0</v>
      </c>
      <c r="F2" s="8">
        <f t="shared" si="0"/>
        <v>0</v>
      </c>
      <c r="G2" s="8">
        <f t="shared" si="0"/>
        <v>0</v>
      </c>
      <c r="H2" s="8">
        <f t="shared" si="0"/>
        <v>0</v>
      </c>
      <c r="I2" s="8">
        <f t="shared" si="0"/>
        <v>0</v>
      </c>
      <c r="J2" s="8">
        <f t="shared" si="0"/>
        <v>0</v>
      </c>
      <c r="K2" s="8">
        <f t="shared" si="0"/>
        <v>0</v>
      </c>
      <c r="L2" s="8">
        <f t="shared" si="0"/>
        <v>0</v>
      </c>
      <c r="M2" s="8">
        <f t="shared" si="0"/>
        <v>0</v>
      </c>
      <c r="N2" s="8">
        <f t="shared" si="0"/>
        <v>0</v>
      </c>
      <c r="O2" s="9">
        <f t="shared" ref="O2:O26" si="1">SUM(C2:N2)</f>
        <v>817207.53099999996</v>
      </c>
      <c r="P2" s="8">
        <f t="shared" ref="P2:AA2" si="2">SUM(P3:P23)</f>
        <v>1631415.0619999999</v>
      </c>
      <c r="Q2" s="8">
        <f t="shared" si="2"/>
        <v>0</v>
      </c>
      <c r="R2" s="8">
        <f t="shared" si="2"/>
        <v>0</v>
      </c>
      <c r="S2" s="8">
        <f t="shared" si="2"/>
        <v>0</v>
      </c>
      <c r="T2" s="8">
        <f t="shared" si="2"/>
        <v>0</v>
      </c>
      <c r="U2" s="8">
        <f t="shared" si="2"/>
        <v>0</v>
      </c>
      <c r="V2" s="8">
        <f t="shared" si="2"/>
        <v>0</v>
      </c>
      <c r="W2" s="8">
        <f t="shared" si="2"/>
        <v>0</v>
      </c>
      <c r="X2" s="8">
        <f t="shared" si="2"/>
        <v>0</v>
      </c>
      <c r="Y2" s="8">
        <f t="shared" si="2"/>
        <v>0</v>
      </c>
      <c r="Z2" s="8">
        <f t="shared" si="2"/>
        <v>0</v>
      </c>
      <c r="AA2" s="8">
        <f t="shared" si="2"/>
        <v>0</v>
      </c>
      <c r="AB2" s="9">
        <f t="shared" ref="AB2:AB26" si="3">SUM(P2:AA2)</f>
        <v>1631415.0619999999</v>
      </c>
    </row>
    <row r="3" spans="1:28" ht="54" outlineLevel="1" x14ac:dyDescent="0.2">
      <c r="A3" s="2">
        <v>1</v>
      </c>
      <c r="B3" s="67" t="s">
        <v>64</v>
      </c>
      <c r="C3" s="11">
        <f>2000*A1</f>
        <v>6081.4000000000005</v>
      </c>
      <c r="D3" s="11">
        <f>2000*A1*9</f>
        <v>54732.600000000006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9">
        <f t="shared" si="1"/>
        <v>60814.000000000007</v>
      </c>
      <c r="P3" s="11">
        <f>C3*20</f>
        <v>121628.00000000001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9">
        <f t="shared" si="3"/>
        <v>121628.00000000001</v>
      </c>
    </row>
    <row r="4" spans="1:28" ht="36" outlineLevel="1" x14ac:dyDescent="0.2">
      <c r="A4" s="2">
        <v>2</v>
      </c>
      <c r="B4" s="67" t="s">
        <v>65</v>
      </c>
      <c r="C4" s="11">
        <f>870*A1</f>
        <v>2645.4090000000001</v>
      </c>
      <c r="D4" s="11">
        <f>870*A1*9</f>
        <v>23808.681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9">
        <f t="shared" si="1"/>
        <v>26454.09</v>
      </c>
      <c r="P4" s="11">
        <f t="shared" ref="P4:P10" si="4">C4*20</f>
        <v>52908.18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9">
        <f t="shared" si="3"/>
        <v>52908.18</v>
      </c>
    </row>
    <row r="5" spans="1:28" ht="36" outlineLevel="1" x14ac:dyDescent="0.2">
      <c r="A5" s="2">
        <v>4</v>
      </c>
      <c r="B5" s="67" t="s">
        <v>66</v>
      </c>
      <c r="C5" s="11">
        <f>653*A1</f>
        <v>1985.5771000000002</v>
      </c>
      <c r="D5" s="11">
        <f>653*A1*9</f>
        <v>17870.193900000002</v>
      </c>
      <c r="F5" s="11"/>
      <c r="G5" s="11"/>
      <c r="H5" s="11"/>
      <c r="I5" s="11"/>
      <c r="J5" s="11"/>
      <c r="K5" s="11"/>
      <c r="L5" s="11"/>
      <c r="M5" s="11"/>
      <c r="N5" s="11"/>
      <c r="O5" s="9">
        <f t="shared" si="1"/>
        <v>19855.771000000001</v>
      </c>
      <c r="P5" s="11">
        <f t="shared" si="4"/>
        <v>39711.542000000001</v>
      </c>
      <c r="Q5" s="11"/>
      <c r="S5" s="11"/>
      <c r="T5" s="11"/>
      <c r="U5" s="11"/>
      <c r="V5" s="11"/>
      <c r="W5" s="11"/>
      <c r="X5" s="11"/>
      <c r="Y5" s="11"/>
      <c r="Z5" s="11"/>
      <c r="AA5" s="11"/>
      <c r="AB5" s="9">
        <f t="shared" si="3"/>
        <v>39711.542000000001</v>
      </c>
    </row>
    <row r="6" spans="1:28" ht="90" outlineLevel="1" x14ac:dyDescent="0.2">
      <c r="A6" s="2">
        <v>5</v>
      </c>
      <c r="B6" s="67" t="s">
        <v>67</v>
      </c>
      <c r="C6" s="11">
        <f>22810*A1</f>
        <v>69358.366999999998</v>
      </c>
      <c r="D6" s="11">
        <f>22810*A1*9</f>
        <v>624225.30299999996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9">
        <f t="shared" si="1"/>
        <v>693583.66999999993</v>
      </c>
      <c r="P6" s="11">
        <f t="shared" si="4"/>
        <v>1387167.3399999999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9">
        <f t="shared" si="3"/>
        <v>1387167.3399999999</v>
      </c>
    </row>
    <row r="7" spans="1:28" ht="18" outlineLevel="1" x14ac:dyDescent="0.3">
      <c r="A7" s="2">
        <v>7</v>
      </c>
      <c r="B7" s="65" t="s">
        <v>79</v>
      </c>
      <c r="C7" s="11">
        <v>250</v>
      </c>
      <c r="D7" s="11">
        <f>C7*9</f>
        <v>2250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9">
        <f t="shared" si="1"/>
        <v>2500</v>
      </c>
      <c r="P7" s="11">
        <f t="shared" si="4"/>
        <v>5000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9">
        <f t="shared" si="3"/>
        <v>5000</v>
      </c>
    </row>
    <row r="8" spans="1:28" ht="18" outlineLevel="1" x14ac:dyDescent="0.3">
      <c r="A8" s="2">
        <v>8</v>
      </c>
      <c r="B8" s="66" t="s">
        <v>80</v>
      </c>
      <c r="C8" s="11">
        <v>2000</v>
      </c>
      <c r="D8" s="11">
        <f>C8*4</f>
        <v>8000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9">
        <f t="shared" ref="O8:O11" si="5">SUM(C8:N8)</f>
        <v>10000</v>
      </c>
      <c r="P8" s="11">
        <f>C8*10</f>
        <v>20000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9">
        <f t="shared" ref="AB8:AB11" si="6">SUM(P8:AA8)</f>
        <v>20000</v>
      </c>
    </row>
    <row r="9" spans="1:28" ht="18" outlineLevel="1" x14ac:dyDescent="0.3">
      <c r="A9" s="2">
        <v>9</v>
      </c>
      <c r="B9" s="66" t="s">
        <v>81</v>
      </c>
      <c r="C9" s="11">
        <v>200</v>
      </c>
      <c r="D9" s="11">
        <f>C9*9</f>
        <v>1800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9">
        <f t="shared" si="5"/>
        <v>2000</v>
      </c>
      <c r="P9" s="11">
        <f t="shared" si="4"/>
        <v>4000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9">
        <f t="shared" si="6"/>
        <v>4000</v>
      </c>
    </row>
    <row r="10" spans="1:28" ht="18" outlineLevel="1" x14ac:dyDescent="0.3">
      <c r="A10" s="2">
        <v>10</v>
      </c>
      <c r="B10" s="66" t="s">
        <v>82</v>
      </c>
      <c r="C10" s="11">
        <v>50</v>
      </c>
      <c r="D10" s="11">
        <f>C10*9</f>
        <v>450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">
        <f t="shared" si="5"/>
        <v>500</v>
      </c>
      <c r="P10" s="11">
        <f t="shared" si="4"/>
        <v>1000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9">
        <f t="shared" si="6"/>
        <v>1000</v>
      </c>
    </row>
    <row r="11" spans="1:28" ht="18" outlineLevel="1" x14ac:dyDescent="0.3">
      <c r="A11" s="2">
        <v>11</v>
      </c>
      <c r="B11" s="66" t="s">
        <v>83</v>
      </c>
      <c r="C11" s="11"/>
      <c r="D11" s="11">
        <v>1500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">
        <f t="shared" si="5"/>
        <v>1500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9">
        <f t="shared" si="6"/>
        <v>0</v>
      </c>
    </row>
    <row r="12" spans="1:28" ht="17" outlineLevel="1" x14ac:dyDescent="0.3">
      <c r="A12" s="2">
        <v>12</v>
      </c>
      <c r="B12" s="66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>
        <f t="shared" si="1"/>
        <v>0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9">
        <f t="shared" si="3"/>
        <v>0</v>
      </c>
    </row>
    <row r="13" spans="1:28" ht="17" outlineLevel="1" x14ac:dyDescent="0.3">
      <c r="A13" s="2">
        <v>13</v>
      </c>
      <c r="B13" s="6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>
        <f t="shared" si="1"/>
        <v>0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9">
        <f t="shared" si="3"/>
        <v>0</v>
      </c>
    </row>
    <row r="14" spans="1:28" ht="17" outlineLevel="1" x14ac:dyDescent="0.3">
      <c r="A14" s="2">
        <v>14</v>
      </c>
      <c r="B14" s="6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9">
        <f t="shared" si="1"/>
        <v>0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9">
        <f t="shared" si="3"/>
        <v>0</v>
      </c>
    </row>
    <row r="15" spans="1:28" ht="17" outlineLevel="1" x14ac:dyDescent="0.3">
      <c r="A15" s="2">
        <v>15</v>
      </c>
      <c r="B15" s="66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">
        <f t="shared" si="1"/>
        <v>0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9">
        <f t="shared" si="3"/>
        <v>0</v>
      </c>
    </row>
    <row r="16" spans="1:28" ht="17" outlineLevel="1" x14ac:dyDescent="0.3">
      <c r="A16" s="2">
        <v>16</v>
      </c>
      <c r="B16" s="6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">
        <f t="shared" si="1"/>
        <v>0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9">
        <f t="shared" si="3"/>
        <v>0</v>
      </c>
    </row>
    <row r="17" spans="1:28" ht="17" outlineLevel="1" x14ac:dyDescent="0.3">
      <c r="A17" s="2">
        <v>17</v>
      </c>
      <c r="B17" s="6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9">
        <f t="shared" ref="O17" si="7">SUM(C17:N17)</f>
        <v>0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9">
        <f t="shared" ref="AB17" si="8">SUM(P17:AA17)</f>
        <v>0</v>
      </c>
    </row>
    <row r="18" spans="1:28" ht="17" outlineLevel="1" x14ac:dyDescent="0.3">
      <c r="A18" s="2">
        <v>15</v>
      </c>
      <c r="B18" s="66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9">
        <f t="shared" ref="O18" si="9">SUM(C18:N18)</f>
        <v>0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9">
        <f t="shared" ref="AB18" si="10">SUM(P18:AA18)</f>
        <v>0</v>
      </c>
    </row>
    <row r="19" spans="1:28" ht="17" outlineLevel="1" x14ac:dyDescent="0.3">
      <c r="A19" s="2">
        <v>16</v>
      </c>
      <c r="B19" s="6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>
        <f t="shared" si="1"/>
        <v>0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9">
        <f t="shared" si="3"/>
        <v>0</v>
      </c>
    </row>
    <row r="20" spans="1:28" ht="17" outlineLevel="1" x14ac:dyDescent="0.3">
      <c r="A20" s="2">
        <v>17</v>
      </c>
      <c r="B20" s="6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9">
        <f t="shared" si="1"/>
        <v>0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9">
        <f t="shared" si="3"/>
        <v>0</v>
      </c>
    </row>
    <row r="21" spans="1:28" ht="17" outlineLevel="1" x14ac:dyDescent="0.3">
      <c r="A21" s="2">
        <v>18</v>
      </c>
      <c r="B21" s="6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9">
        <f t="shared" si="1"/>
        <v>0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9">
        <f t="shared" si="3"/>
        <v>0</v>
      </c>
    </row>
    <row r="22" spans="1:28" ht="17" outlineLevel="1" x14ac:dyDescent="0.3">
      <c r="A22" s="2">
        <v>19</v>
      </c>
      <c r="B22" s="6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9">
        <f t="shared" si="1"/>
        <v>0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9">
        <f t="shared" si="3"/>
        <v>0</v>
      </c>
    </row>
    <row r="23" spans="1:28" ht="17" outlineLevel="1" x14ac:dyDescent="0.3">
      <c r="A23" s="2">
        <v>20</v>
      </c>
      <c r="B23" s="6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9">
        <f t="shared" si="1"/>
        <v>0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9">
        <f t="shared" si="3"/>
        <v>0</v>
      </c>
    </row>
    <row r="24" spans="1:28" ht="30" customHeight="1" x14ac:dyDescent="0.2">
      <c r="B24" s="7" t="s">
        <v>23</v>
      </c>
      <c r="C24" s="8">
        <f t="shared" ref="C24:N24" si="11">SUM(C25:C27)</f>
        <v>85429</v>
      </c>
      <c r="D24" s="8">
        <f t="shared" si="11"/>
        <v>0</v>
      </c>
      <c r="E24" s="8">
        <f t="shared" si="11"/>
        <v>0</v>
      </c>
      <c r="F24" s="8">
        <f t="shared" si="11"/>
        <v>0</v>
      </c>
      <c r="G24" s="8">
        <f t="shared" si="11"/>
        <v>0</v>
      </c>
      <c r="H24" s="8">
        <f t="shared" si="11"/>
        <v>0</v>
      </c>
      <c r="I24" s="8">
        <f t="shared" si="11"/>
        <v>0</v>
      </c>
      <c r="J24" s="8">
        <f t="shared" si="11"/>
        <v>0</v>
      </c>
      <c r="K24" s="8">
        <f t="shared" si="11"/>
        <v>0</v>
      </c>
      <c r="L24" s="8">
        <f t="shared" si="11"/>
        <v>0</v>
      </c>
      <c r="M24" s="8">
        <f t="shared" si="11"/>
        <v>0</v>
      </c>
      <c r="N24" s="8">
        <f t="shared" si="11"/>
        <v>0</v>
      </c>
      <c r="O24" s="9">
        <f t="shared" si="1"/>
        <v>85429</v>
      </c>
      <c r="P24" s="8">
        <f t="shared" ref="P24:AA24" si="12">SUM(P25:P27)</f>
        <v>20000</v>
      </c>
      <c r="Q24" s="8">
        <f t="shared" si="12"/>
        <v>0</v>
      </c>
      <c r="R24" s="8">
        <f t="shared" si="12"/>
        <v>0</v>
      </c>
      <c r="S24" s="8">
        <f t="shared" si="12"/>
        <v>0</v>
      </c>
      <c r="T24" s="8">
        <f t="shared" si="12"/>
        <v>0</v>
      </c>
      <c r="U24" s="8">
        <f t="shared" si="12"/>
        <v>0</v>
      </c>
      <c r="V24" s="8">
        <f t="shared" si="12"/>
        <v>0</v>
      </c>
      <c r="W24" s="8">
        <f t="shared" si="12"/>
        <v>0</v>
      </c>
      <c r="X24" s="8">
        <f t="shared" si="12"/>
        <v>0</v>
      </c>
      <c r="Y24" s="8">
        <f t="shared" si="12"/>
        <v>0</v>
      </c>
      <c r="Z24" s="8">
        <f t="shared" si="12"/>
        <v>0</v>
      </c>
      <c r="AA24" s="8">
        <f t="shared" si="12"/>
        <v>0</v>
      </c>
      <c r="AB24" s="9">
        <f t="shared" si="3"/>
        <v>20000</v>
      </c>
    </row>
    <row r="25" spans="1:28" ht="29" outlineLevel="1" x14ac:dyDescent="0.2">
      <c r="A25" s="2">
        <v>1</v>
      </c>
      <c r="B25" s="31" t="s">
        <v>68</v>
      </c>
      <c r="C25" s="11">
        <v>1000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">
        <f t="shared" si="1"/>
        <v>1000</v>
      </c>
      <c r="P25" s="11">
        <f>C25*20</f>
        <v>20000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9">
        <f t="shared" si="3"/>
        <v>20000</v>
      </c>
    </row>
    <row r="26" spans="1:28" ht="15" outlineLevel="1" x14ac:dyDescent="0.2">
      <c r="A26" s="2">
        <v>16</v>
      </c>
      <c r="B26" s="10" t="s">
        <v>69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">
        <f t="shared" si="1"/>
        <v>0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9">
        <f t="shared" si="3"/>
        <v>0</v>
      </c>
    </row>
    <row r="27" spans="1:28" ht="15" outlineLevel="1" x14ac:dyDescent="0.2">
      <c r="A27" s="2">
        <v>16</v>
      </c>
      <c r="B27" s="10" t="s">
        <v>76</v>
      </c>
      <c r="C27" s="11">
        <v>84429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">
        <f t="shared" ref="O27:O31" si="13">SUM(C27:N27)</f>
        <v>84429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9">
        <f t="shared" ref="AB27:AB31" si="14">SUM(P27:AA27)</f>
        <v>0</v>
      </c>
    </row>
    <row r="28" spans="1:28" ht="15" x14ac:dyDescent="0.2">
      <c r="B28" s="7" t="s">
        <v>0</v>
      </c>
      <c r="C28" s="8">
        <f t="shared" ref="C28:N28" si="15">SUM(C29:C30)</f>
        <v>200</v>
      </c>
      <c r="D28" s="8">
        <f t="shared" si="15"/>
        <v>0</v>
      </c>
      <c r="E28" s="8">
        <f t="shared" si="15"/>
        <v>0</v>
      </c>
      <c r="F28" s="8">
        <f t="shared" si="15"/>
        <v>0</v>
      </c>
      <c r="G28" s="8">
        <f t="shared" si="15"/>
        <v>0</v>
      </c>
      <c r="H28" s="8">
        <f t="shared" si="15"/>
        <v>0</v>
      </c>
      <c r="I28" s="8">
        <f t="shared" si="15"/>
        <v>0</v>
      </c>
      <c r="J28" s="8">
        <f t="shared" si="15"/>
        <v>0</v>
      </c>
      <c r="K28" s="8">
        <f t="shared" si="15"/>
        <v>0</v>
      </c>
      <c r="L28" s="8">
        <f t="shared" si="15"/>
        <v>0</v>
      </c>
      <c r="M28" s="8">
        <f t="shared" si="15"/>
        <v>0</v>
      </c>
      <c r="N28" s="8">
        <f t="shared" si="15"/>
        <v>0</v>
      </c>
      <c r="O28" s="9">
        <f t="shared" si="13"/>
        <v>200</v>
      </c>
      <c r="P28" s="8">
        <f t="shared" ref="P28:AA28" si="16">SUM(P29:P30)</f>
        <v>0</v>
      </c>
      <c r="Q28" s="8">
        <f t="shared" si="16"/>
        <v>0</v>
      </c>
      <c r="R28" s="8">
        <f t="shared" si="16"/>
        <v>0</v>
      </c>
      <c r="S28" s="8">
        <f t="shared" si="16"/>
        <v>0</v>
      </c>
      <c r="T28" s="8">
        <f t="shared" si="16"/>
        <v>0</v>
      </c>
      <c r="U28" s="8">
        <f t="shared" si="16"/>
        <v>0</v>
      </c>
      <c r="V28" s="8">
        <f t="shared" si="16"/>
        <v>0</v>
      </c>
      <c r="W28" s="8">
        <f t="shared" si="16"/>
        <v>0</v>
      </c>
      <c r="X28" s="8">
        <f t="shared" si="16"/>
        <v>0</v>
      </c>
      <c r="Y28" s="8">
        <f t="shared" si="16"/>
        <v>0</v>
      </c>
      <c r="Z28" s="8">
        <f t="shared" si="16"/>
        <v>0</v>
      </c>
      <c r="AA28" s="8">
        <f t="shared" si="16"/>
        <v>0</v>
      </c>
      <c r="AB28" s="9">
        <f t="shared" si="14"/>
        <v>0</v>
      </c>
    </row>
    <row r="29" spans="1:28" ht="15" outlineLevel="1" x14ac:dyDescent="0.2">
      <c r="A29" s="2">
        <v>1</v>
      </c>
      <c r="B29" s="10" t="s">
        <v>46</v>
      </c>
      <c r="C29" s="11">
        <v>150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9">
        <f t="shared" si="13"/>
        <v>150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9">
        <f t="shared" si="14"/>
        <v>0</v>
      </c>
    </row>
    <row r="30" spans="1:28" ht="15" outlineLevel="1" x14ac:dyDescent="0.2">
      <c r="A30" s="2">
        <v>2</v>
      </c>
      <c r="B30" s="10" t="s">
        <v>52</v>
      </c>
      <c r="C30" s="11">
        <v>50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9">
        <f t="shared" si="13"/>
        <v>50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9">
        <f t="shared" si="14"/>
        <v>0</v>
      </c>
    </row>
    <row r="31" spans="1:28" ht="30" x14ac:dyDescent="0.2">
      <c r="B31" s="7" t="s">
        <v>1</v>
      </c>
      <c r="C31" s="8">
        <f t="shared" ref="C31:N31" si="17">SUM(C32:C34)</f>
        <v>8409.9876550000008</v>
      </c>
      <c r="D31" s="8">
        <f t="shared" si="17"/>
        <v>36731.838895000001</v>
      </c>
      <c r="E31" s="8">
        <f t="shared" si="17"/>
        <v>0</v>
      </c>
      <c r="F31" s="8">
        <f t="shared" si="17"/>
        <v>0</v>
      </c>
      <c r="G31" s="8">
        <f t="shared" si="17"/>
        <v>0</v>
      </c>
      <c r="H31" s="8">
        <f t="shared" si="17"/>
        <v>0</v>
      </c>
      <c r="I31" s="8">
        <f t="shared" si="17"/>
        <v>0</v>
      </c>
      <c r="J31" s="8">
        <f t="shared" si="17"/>
        <v>0</v>
      </c>
      <c r="K31" s="8">
        <f t="shared" si="17"/>
        <v>0</v>
      </c>
      <c r="L31" s="8">
        <f t="shared" si="17"/>
        <v>0</v>
      </c>
      <c r="M31" s="8">
        <f t="shared" si="17"/>
        <v>0</v>
      </c>
      <c r="N31" s="8">
        <f t="shared" si="17"/>
        <v>0</v>
      </c>
      <c r="O31" s="9">
        <f t="shared" si="13"/>
        <v>45141.826549999998</v>
      </c>
      <c r="P31" s="8">
        <f t="shared" ref="P31:AA31" si="18">SUM(P32:P34)</f>
        <v>82570.753100000002</v>
      </c>
      <c r="Q31" s="8">
        <f t="shared" si="18"/>
        <v>0</v>
      </c>
      <c r="R31" s="8">
        <f t="shared" si="18"/>
        <v>0</v>
      </c>
      <c r="S31" s="8">
        <f t="shared" si="18"/>
        <v>0</v>
      </c>
      <c r="T31" s="8">
        <f t="shared" si="18"/>
        <v>0</v>
      </c>
      <c r="U31" s="8">
        <f t="shared" si="18"/>
        <v>0</v>
      </c>
      <c r="V31" s="8">
        <f t="shared" si="18"/>
        <v>0</v>
      </c>
      <c r="W31" s="8">
        <f t="shared" si="18"/>
        <v>0</v>
      </c>
      <c r="X31" s="8">
        <f t="shared" si="18"/>
        <v>0</v>
      </c>
      <c r="Y31" s="8">
        <f t="shared" si="18"/>
        <v>0</v>
      </c>
      <c r="Z31" s="8">
        <f t="shared" si="18"/>
        <v>0</v>
      </c>
      <c r="AA31" s="8">
        <f t="shared" si="18"/>
        <v>0</v>
      </c>
      <c r="AB31" s="9">
        <f t="shared" si="14"/>
        <v>82570.753100000002</v>
      </c>
    </row>
    <row r="32" spans="1:28" ht="15" outlineLevel="1" x14ac:dyDescent="0.2">
      <c r="A32" s="2">
        <v>1</v>
      </c>
      <c r="B32" s="14" t="s">
        <v>21</v>
      </c>
      <c r="C32" s="15">
        <f t="shared" ref="C32:AB32" si="19">SUM(C2,C28,C24)*5%</f>
        <v>8409.9876550000008</v>
      </c>
      <c r="D32" s="15">
        <f t="shared" si="19"/>
        <v>36731.838895000001</v>
      </c>
      <c r="E32" s="15">
        <f t="shared" si="19"/>
        <v>0</v>
      </c>
      <c r="F32" s="15">
        <f t="shared" si="19"/>
        <v>0</v>
      </c>
      <c r="G32" s="15">
        <f t="shared" si="19"/>
        <v>0</v>
      </c>
      <c r="H32" s="15">
        <f t="shared" si="19"/>
        <v>0</v>
      </c>
      <c r="I32" s="15">
        <f t="shared" si="19"/>
        <v>0</v>
      </c>
      <c r="J32" s="15">
        <f t="shared" si="19"/>
        <v>0</v>
      </c>
      <c r="K32" s="15">
        <f t="shared" si="19"/>
        <v>0</v>
      </c>
      <c r="L32" s="15">
        <f t="shared" si="19"/>
        <v>0</v>
      </c>
      <c r="M32" s="15">
        <f t="shared" si="19"/>
        <v>0</v>
      </c>
      <c r="N32" s="15">
        <f t="shared" si="19"/>
        <v>0</v>
      </c>
      <c r="O32" s="15">
        <f t="shared" si="19"/>
        <v>45141.826549999998</v>
      </c>
      <c r="P32" s="15">
        <f t="shared" si="19"/>
        <v>82570.753100000002</v>
      </c>
      <c r="Q32" s="15">
        <f t="shared" si="19"/>
        <v>0</v>
      </c>
      <c r="R32" s="15">
        <f t="shared" si="19"/>
        <v>0</v>
      </c>
      <c r="S32" s="15">
        <f t="shared" si="19"/>
        <v>0</v>
      </c>
      <c r="T32" s="15">
        <f t="shared" si="19"/>
        <v>0</v>
      </c>
      <c r="U32" s="15">
        <f t="shared" si="19"/>
        <v>0</v>
      </c>
      <c r="V32" s="15">
        <f t="shared" si="19"/>
        <v>0</v>
      </c>
      <c r="W32" s="15">
        <f t="shared" si="19"/>
        <v>0</v>
      </c>
      <c r="X32" s="15">
        <f t="shared" si="19"/>
        <v>0</v>
      </c>
      <c r="Y32" s="15">
        <f t="shared" si="19"/>
        <v>0</v>
      </c>
      <c r="Z32" s="15">
        <f t="shared" si="19"/>
        <v>0</v>
      </c>
      <c r="AA32" s="15">
        <f t="shared" si="19"/>
        <v>0</v>
      </c>
      <c r="AB32" s="15">
        <f t="shared" si="19"/>
        <v>82570.753100000002</v>
      </c>
    </row>
    <row r="33" spans="1:28" outlineLevel="1" x14ac:dyDescent="0.2">
      <c r="A33" s="2">
        <v>2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</row>
    <row r="34" spans="1:28" outlineLevel="1" x14ac:dyDescent="0.2">
      <c r="A34" s="2">
        <v>16</v>
      </c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6"/>
    </row>
    <row r="35" spans="1:28" ht="15" x14ac:dyDescent="0.2">
      <c r="B35" s="17" t="s">
        <v>3</v>
      </c>
      <c r="C35" s="18">
        <f t="shared" ref="C35:N35" si="20">SUM(C2,C24,C28,C31)</f>
        <v>176609.74075500001</v>
      </c>
      <c r="D35" s="18">
        <f t="shared" si="20"/>
        <v>771368.61679500004</v>
      </c>
      <c r="E35" s="18">
        <f t="shared" si="20"/>
        <v>0</v>
      </c>
      <c r="F35" s="18">
        <f t="shared" si="20"/>
        <v>0</v>
      </c>
      <c r="G35" s="18">
        <f t="shared" si="20"/>
        <v>0</v>
      </c>
      <c r="H35" s="18">
        <f t="shared" si="20"/>
        <v>0</v>
      </c>
      <c r="I35" s="18">
        <f t="shared" si="20"/>
        <v>0</v>
      </c>
      <c r="J35" s="18">
        <f t="shared" si="20"/>
        <v>0</v>
      </c>
      <c r="K35" s="18">
        <f t="shared" si="20"/>
        <v>0</v>
      </c>
      <c r="L35" s="18">
        <f t="shared" si="20"/>
        <v>0</v>
      </c>
      <c r="M35" s="18">
        <f t="shared" si="20"/>
        <v>0</v>
      </c>
      <c r="N35" s="18">
        <f t="shared" si="20"/>
        <v>0</v>
      </c>
      <c r="O35" s="9">
        <f>SUM(C35:N35)</f>
        <v>947978.35755000007</v>
      </c>
      <c r="P35" s="18">
        <f t="shared" ref="P35:AA35" si="21">SUM(P2,P24,P28,P31)</f>
        <v>1733985.8151</v>
      </c>
      <c r="Q35" s="18">
        <f t="shared" si="21"/>
        <v>0</v>
      </c>
      <c r="R35" s="18">
        <f t="shared" si="21"/>
        <v>0</v>
      </c>
      <c r="S35" s="18">
        <f t="shared" si="21"/>
        <v>0</v>
      </c>
      <c r="T35" s="18">
        <f t="shared" si="21"/>
        <v>0</v>
      </c>
      <c r="U35" s="18">
        <f t="shared" si="21"/>
        <v>0</v>
      </c>
      <c r="V35" s="18">
        <f t="shared" si="21"/>
        <v>0</v>
      </c>
      <c r="W35" s="18">
        <f t="shared" si="21"/>
        <v>0</v>
      </c>
      <c r="X35" s="18">
        <f t="shared" si="21"/>
        <v>0</v>
      </c>
      <c r="Y35" s="18">
        <f t="shared" si="21"/>
        <v>0</v>
      </c>
      <c r="Z35" s="18">
        <f t="shared" si="21"/>
        <v>0</v>
      </c>
      <c r="AA35" s="18">
        <f t="shared" si="21"/>
        <v>0</v>
      </c>
      <c r="AB35" s="9">
        <f>SUM(P35:AA35)</f>
        <v>1733985.8151</v>
      </c>
    </row>
    <row r="37" spans="1:28" ht="15" thickBot="1" x14ac:dyDescent="0.25"/>
    <row r="38" spans="1:28" ht="15" x14ac:dyDescent="0.2">
      <c r="B38" s="3" t="s">
        <v>4</v>
      </c>
      <c r="C38" s="4" t="s">
        <v>34</v>
      </c>
      <c r="D38" s="4" t="s">
        <v>35</v>
      </c>
      <c r="E38" s="4" t="s">
        <v>36</v>
      </c>
      <c r="F38" s="4" t="s">
        <v>37</v>
      </c>
      <c r="G38" s="4" t="s">
        <v>38</v>
      </c>
      <c r="H38" s="4" t="s">
        <v>39</v>
      </c>
      <c r="I38" s="4" t="s">
        <v>40</v>
      </c>
      <c r="J38" s="4" t="s">
        <v>41</v>
      </c>
      <c r="K38" s="4" t="s">
        <v>42</v>
      </c>
      <c r="L38" s="4" t="s">
        <v>43</v>
      </c>
      <c r="M38" s="4" t="s">
        <v>44</v>
      </c>
      <c r="N38" s="4" t="s">
        <v>45</v>
      </c>
      <c r="O38" s="5" t="s">
        <v>14</v>
      </c>
      <c r="P38" s="4" t="s">
        <v>34</v>
      </c>
      <c r="Q38" s="4" t="s">
        <v>35</v>
      </c>
      <c r="R38" s="4" t="s">
        <v>36</v>
      </c>
      <c r="S38" s="4" t="s">
        <v>37</v>
      </c>
      <c r="T38" s="4" t="s">
        <v>38</v>
      </c>
      <c r="U38" s="4" t="s">
        <v>39</v>
      </c>
      <c r="V38" s="4" t="s">
        <v>40</v>
      </c>
      <c r="W38" s="4" t="s">
        <v>41</v>
      </c>
      <c r="X38" s="4" t="s">
        <v>42</v>
      </c>
      <c r="Y38" s="4" t="s">
        <v>43</v>
      </c>
      <c r="Z38" s="4" t="s">
        <v>44</v>
      </c>
      <c r="AA38" s="4" t="s">
        <v>45</v>
      </c>
      <c r="AB38" s="5" t="s">
        <v>14</v>
      </c>
    </row>
    <row r="39" spans="1:28" ht="15" x14ac:dyDescent="0.2">
      <c r="B39" s="7" t="s">
        <v>5</v>
      </c>
      <c r="C39" s="8">
        <f t="shared" ref="C39:N39" si="22">SUM(C40:C50)</f>
        <v>2205</v>
      </c>
      <c r="D39" s="8">
        <f t="shared" si="22"/>
        <v>18800</v>
      </c>
      <c r="E39" s="8">
        <f t="shared" si="22"/>
        <v>18800</v>
      </c>
      <c r="F39" s="8">
        <f t="shared" si="22"/>
        <v>18800</v>
      </c>
      <c r="G39" s="8">
        <f t="shared" si="22"/>
        <v>18800</v>
      </c>
      <c r="H39" s="8">
        <f t="shared" si="22"/>
        <v>18800</v>
      </c>
      <c r="I39" s="8">
        <f t="shared" si="22"/>
        <v>18800</v>
      </c>
      <c r="J39" s="8">
        <f t="shared" si="22"/>
        <v>18800</v>
      </c>
      <c r="K39" s="8">
        <f t="shared" si="22"/>
        <v>18800</v>
      </c>
      <c r="L39" s="8">
        <f t="shared" si="22"/>
        <v>18800</v>
      </c>
      <c r="M39" s="8">
        <f t="shared" si="22"/>
        <v>18800</v>
      </c>
      <c r="N39" s="8">
        <f t="shared" si="22"/>
        <v>18800</v>
      </c>
      <c r="O39" s="9">
        <f t="shared" ref="O39:O49" si="23">SUM(C39:N39)</f>
        <v>209005</v>
      </c>
      <c r="P39" s="8">
        <f t="shared" ref="P39:AA39" si="24">SUM(P40:P50)</f>
        <v>56400</v>
      </c>
      <c r="Q39" s="8">
        <f t="shared" si="24"/>
        <v>56400</v>
      </c>
      <c r="R39" s="8">
        <f t="shared" si="24"/>
        <v>56400</v>
      </c>
      <c r="S39" s="8">
        <f t="shared" si="24"/>
        <v>56400</v>
      </c>
      <c r="T39" s="8">
        <f t="shared" si="24"/>
        <v>56400</v>
      </c>
      <c r="U39" s="8">
        <f t="shared" si="24"/>
        <v>56400</v>
      </c>
      <c r="V39" s="8">
        <f t="shared" si="24"/>
        <v>56400</v>
      </c>
      <c r="W39" s="8">
        <f t="shared" si="24"/>
        <v>56400</v>
      </c>
      <c r="X39" s="8">
        <f t="shared" si="24"/>
        <v>56400</v>
      </c>
      <c r="Y39" s="8">
        <f t="shared" si="24"/>
        <v>56400</v>
      </c>
      <c r="Z39" s="8">
        <f t="shared" si="24"/>
        <v>56400</v>
      </c>
      <c r="AA39" s="8">
        <f t="shared" si="24"/>
        <v>56400</v>
      </c>
      <c r="AB39" s="9">
        <f t="shared" ref="AB39:AB49" si="25">SUM(P39:AA39)</f>
        <v>676800</v>
      </c>
    </row>
    <row r="40" spans="1:28" outlineLevel="1" x14ac:dyDescent="0.2">
      <c r="A40" s="2">
        <v>1</v>
      </c>
      <c r="B40" s="70" t="s">
        <v>70</v>
      </c>
      <c r="C40" s="11">
        <v>1000</v>
      </c>
      <c r="D40" s="11">
        <f>$C$40*9+$C$40</f>
        <v>10000</v>
      </c>
      <c r="E40" s="11">
        <f t="shared" ref="E40:N40" si="26">$C$40*9+$C$40</f>
        <v>10000</v>
      </c>
      <c r="F40" s="11">
        <f t="shared" si="26"/>
        <v>10000</v>
      </c>
      <c r="G40" s="11">
        <f t="shared" si="26"/>
        <v>10000</v>
      </c>
      <c r="H40" s="11">
        <f t="shared" si="26"/>
        <v>10000</v>
      </c>
      <c r="I40" s="11">
        <f t="shared" si="26"/>
        <v>10000</v>
      </c>
      <c r="J40" s="11">
        <f t="shared" si="26"/>
        <v>10000</v>
      </c>
      <c r="K40" s="11">
        <f t="shared" si="26"/>
        <v>10000</v>
      </c>
      <c r="L40" s="11">
        <f t="shared" si="26"/>
        <v>10000</v>
      </c>
      <c r="M40" s="11">
        <f t="shared" si="26"/>
        <v>10000</v>
      </c>
      <c r="N40" s="11">
        <f t="shared" si="26"/>
        <v>10000</v>
      </c>
      <c r="O40" s="9">
        <f t="shared" si="23"/>
        <v>111000</v>
      </c>
      <c r="P40" s="71">
        <f>1000*30</f>
        <v>30000</v>
      </c>
      <c r="Q40" s="71">
        <f t="shared" ref="Q40:AA40" si="27">1000*30</f>
        <v>30000</v>
      </c>
      <c r="R40" s="71">
        <f t="shared" si="27"/>
        <v>30000</v>
      </c>
      <c r="S40" s="71">
        <f t="shared" si="27"/>
        <v>30000</v>
      </c>
      <c r="T40" s="71">
        <f t="shared" si="27"/>
        <v>30000</v>
      </c>
      <c r="U40" s="71">
        <f t="shared" si="27"/>
        <v>30000</v>
      </c>
      <c r="V40" s="71">
        <f t="shared" si="27"/>
        <v>30000</v>
      </c>
      <c r="W40" s="71">
        <f t="shared" si="27"/>
        <v>30000</v>
      </c>
      <c r="X40" s="71">
        <f t="shared" si="27"/>
        <v>30000</v>
      </c>
      <c r="Y40" s="71">
        <f t="shared" si="27"/>
        <v>30000</v>
      </c>
      <c r="Z40" s="71">
        <f t="shared" si="27"/>
        <v>30000</v>
      </c>
      <c r="AA40" s="71">
        <f t="shared" si="27"/>
        <v>30000</v>
      </c>
      <c r="AB40" s="9">
        <f t="shared" si="25"/>
        <v>360000</v>
      </c>
    </row>
    <row r="41" spans="1:28" outlineLevel="1" x14ac:dyDescent="0.2">
      <c r="A41" s="2">
        <v>2</v>
      </c>
      <c r="B41" s="21" t="s">
        <v>71</v>
      </c>
      <c r="C41" s="11">
        <f>812.5-812.5*20%</f>
        <v>650</v>
      </c>
      <c r="D41" s="11">
        <f>$C$41*5</f>
        <v>3250</v>
      </c>
      <c r="E41" s="11">
        <f t="shared" ref="E41:N41" si="28">$C$41*5</f>
        <v>3250</v>
      </c>
      <c r="F41" s="11">
        <f t="shared" si="28"/>
        <v>3250</v>
      </c>
      <c r="G41" s="11">
        <f t="shared" si="28"/>
        <v>3250</v>
      </c>
      <c r="H41" s="11">
        <f t="shared" si="28"/>
        <v>3250</v>
      </c>
      <c r="I41" s="11">
        <f t="shared" si="28"/>
        <v>3250</v>
      </c>
      <c r="J41" s="11">
        <f t="shared" si="28"/>
        <v>3250</v>
      </c>
      <c r="K41" s="11">
        <f t="shared" si="28"/>
        <v>3250</v>
      </c>
      <c r="L41" s="11">
        <f t="shared" si="28"/>
        <v>3250</v>
      </c>
      <c r="M41" s="11">
        <f t="shared" si="28"/>
        <v>3250</v>
      </c>
      <c r="N41" s="11">
        <f t="shared" si="28"/>
        <v>3250</v>
      </c>
      <c r="O41" s="9">
        <f t="shared" si="23"/>
        <v>36400</v>
      </c>
      <c r="P41" s="11">
        <f>$C$41*15</f>
        <v>9750</v>
      </c>
      <c r="Q41" s="11">
        <f t="shared" ref="Q41:AA41" si="29">$C$41*15</f>
        <v>9750</v>
      </c>
      <c r="R41" s="11">
        <f t="shared" si="29"/>
        <v>9750</v>
      </c>
      <c r="S41" s="11">
        <f t="shared" si="29"/>
        <v>9750</v>
      </c>
      <c r="T41" s="11">
        <f t="shared" si="29"/>
        <v>9750</v>
      </c>
      <c r="U41" s="11">
        <f t="shared" si="29"/>
        <v>9750</v>
      </c>
      <c r="V41" s="11">
        <f t="shared" si="29"/>
        <v>9750</v>
      </c>
      <c r="W41" s="11">
        <f t="shared" si="29"/>
        <v>9750</v>
      </c>
      <c r="X41" s="11">
        <f t="shared" si="29"/>
        <v>9750</v>
      </c>
      <c r="Y41" s="11">
        <f t="shared" si="29"/>
        <v>9750</v>
      </c>
      <c r="Z41" s="11">
        <f t="shared" si="29"/>
        <v>9750</v>
      </c>
      <c r="AA41" s="11">
        <f t="shared" si="29"/>
        <v>9750</v>
      </c>
      <c r="AB41" s="9">
        <f t="shared" si="25"/>
        <v>117000</v>
      </c>
    </row>
    <row r="42" spans="1:28" outlineLevel="1" x14ac:dyDescent="0.2">
      <c r="A42" s="2">
        <v>3</v>
      </c>
      <c r="B42" s="69" t="s">
        <v>72</v>
      </c>
      <c r="C42" s="11">
        <f>568.75-568.75*20%</f>
        <v>455</v>
      </c>
      <c r="D42" s="11">
        <f>$C$42*10</f>
        <v>4550</v>
      </c>
      <c r="E42" s="11">
        <f t="shared" ref="E42:N42" si="30">$C$42*10</f>
        <v>4550</v>
      </c>
      <c r="F42" s="11">
        <f t="shared" si="30"/>
        <v>4550</v>
      </c>
      <c r="G42" s="11">
        <f t="shared" si="30"/>
        <v>4550</v>
      </c>
      <c r="H42" s="11">
        <f t="shared" si="30"/>
        <v>4550</v>
      </c>
      <c r="I42" s="11">
        <f t="shared" si="30"/>
        <v>4550</v>
      </c>
      <c r="J42" s="11">
        <f t="shared" si="30"/>
        <v>4550</v>
      </c>
      <c r="K42" s="11">
        <f t="shared" si="30"/>
        <v>4550</v>
      </c>
      <c r="L42" s="11">
        <f t="shared" si="30"/>
        <v>4550</v>
      </c>
      <c r="M42" s="11">
        <f t="shared" si="30"/>
        <v>4550</v>
      </c>
      <c r="N42" s="11">
        <f t="shared" si="30"/>
        <v>4550</v>
      </c>
      <c r="O42" s="9">
        <f t="shared" si="23"/>
        <v>50505</v>
      </c>
      <c r="P42" s="11">
        <f>$C$42*30</f>
        <v>13650</v>
      </c>
      <c r="Q42" s="11">
        <f t="shared" ref="Q42:AA42" si="31">$C$42*30</f>
        <v>13650</v>
      </c>
      <c r="R42" s="11">
        <f t="shared" si="31"/>
        <v>13650</v>
      </c>
      <c r="S42" s="11">
        <f t="shared" si="31"/>
        <v>13650</v>
      </c>
      <c r="T42" s="11">
        <f t="shared" si="31"/>
        <v>13650</v>
      </c>
      <c r="U42" s="11">
        <f t="shared" si="31"/>
        <v>13650</v>
      </c>
      <c r="V42" s="11">
        <f t="shared" si="31"/>
        <v>13650</v>
      </c>
      <c r="W42" s="11">
        <f t="shared" si="31"/>
        <v>13650</v>
      </c>
      <c r="X42" s="11">
        <f t="shared" si="31"/>
        <v>13650</v>
      </c>
      <c r="Y42" s="11">
        <f t="shared" si="31"/>
        <v>13650</v>
      </c>
      <c r="Z42" s="11">
        <f t="shared" si="31"/>
        <v>13650</v>
      </c>
      <c r="AA42" s="11">
        <f t="shared" si="31"/>
        <v>13650</v>
      </c>
      <c r="AB42" s="9">
        <f t="shared" si="25"/>
        <v>163800</v>
      </c>
    </row>
    <row r="43" spans="1:28" outlineLevel="1" x14ac:dyDescent="0.2">
      <c r="A43" s="2">
        <v>4</v>
      </c>
      <c r="B43" s="61" t="s">
        <v>73</v>
      </c>
      <c r="C43" s="11">
        <v>100</v>
      </c>
      <c r="D43" s="11">
        <v>1000</v>
      </c>
      <c r="E43" s="11">
        <v>1000</v>
      </c>
      <c r="F43" s="11">
        <v>1000</v>
      </c>
      <c r="G43" s="11">
        <v>1000</v>
      </c>
      <c r="H43" s="11">
        <v>1000</v>
      </c>
      <c r="I43" s="11">
        <v>1000</v>
      </c>
      <c r="J43" s="11">
        <v>1000</v>
      </c>
      <c r="K43" s="11">
        <v>1000</v>
      </c>
      <c r="L43" s="11">
        <v>1000</v>
      </c>
      <c r="M43" s="11">
        <v>1000</v>
      </c>
      <c r="N43" s="11">
        <v>1000</v>
      </c>
      <c r="O43" s="9">
        <f t="shared" si="23"/>
        <v>11100</v>
      </c>
      <c r="P43" s="11">
        <v>3000</v>
      </c>
      <c r="Q43" s="11">
        <v>3000</v>
      </c>
      <c r="R43" s="11">
        <v>3000</v>
      </c>
      <c r="S43" s="11">
        <v>3000</v>
      </c>
      <c r="T43" s="11">
        <v>3000</v>
      </c>
      <c r="U43" s="11">
        <v>3000</v>
      </c>
      <c r="V43" s="11">
        <v>3000</v>
      </c>
      <c r="W43" s="11">
        <v>3000</v>
      </c>
      <c r="X43" s="11">
        <v>3000</v>
      </c>
      <c r="Y43" s="11">
        <v>3000</v>
      </c>
      <c r="Z43" s="11">
        <v>3000</v>
      </c>
      <c r="AA43" s="11">
        <v>3000</v>
      </c>
      <c r="AB43" s="9">
        <f t="shared" si="25"/>
        <v>36000</v>
      </c>
    </row>
    <row r="44" spans="1:28" outlineLevel="1" x14ac:dyDescent="0.2">
      <c r="A44" s="2">
        <v>5</v>
      </c>
      <c r="B44" s="58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9">
        <f t="shared" si="23"/>
        <v>0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9">
        <f t="shared" si="25"/>
        <v>0</v>
      </c>
    </row>
    <row r="45" spans="1:28" outlineLevel="1" x14ac:dyDescent="0.2">
      <c r="A45" s="2">
        <v>6</v>
      </c>
      <c r="B45" s="58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9">
        <f t="shared" si="23"/>
        <v>0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9">
        <f t="shared" si="25"/>
        <v>0</v>
      </c>
    </row>
    <row r="46" spans="1:28" outlineLevel="1" x14ac:dyDescent="0.2">
      <c r="A46" s="2">
        <v>7</v>
      </c>
      <c r="B46" s="5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9">
        <f t="shared" si="23"/>
        <v>0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9">
        <f t="shared" si="25"/>
        <v>0</v>
      </c>
    </row>
    <row r="47" spans="1:28" outlineLevel="1" x14ac:dyDescent="0.2">
      <c r="A47" s="2">
        <v>8</v>
      </c>
      <c r="B47" s="53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9">
        <f t="shared" si="23"/>
        <v>0</v>
      </c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9">
        <f t="shared" si="25"/>
        <v>0</v>
      </c>
    </row>
    <row r="48" spans="1:28" outlineLevel="1" x14ac:dyDescent="0.2">
      <c r="A48" s="2">
        <v>9</v>
      </c>
      <c r="B48" s="53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9">
        <f t="shared" si="23"/>
        <v>0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9">
        <f t="shared" si="25"/>
        <v>0</v>
      </c>
    </row>
    <row r="49" spans="1:28" outlineLevel="1" x14ac:dyDescent="0.2">
      <c r="A49" s="2">
        <v>10</v>
      </c>
      <c r="B49" s="6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9">
        <f t="shared" si="23"/>
        <v>0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9">
        <f t="shared" si="25"/>
        <v>0</v>
      </c>
    </row>
    <row r="50" spans="1:28" outlineLevel="1" x14ac:dyDescent="0.2">
      <c r="A50" s="2">
        <v>32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9">
        <f t="shared" ref="O50:O63" si="32">SUM(C50:N50)</f>
        <v>0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9">
        <f t="shared" ref="AB50:AB63" si="33">SUM(P50:AA50)</f>
        <v>0</v>
      </c>
    </row>
    <row r="51" spans="1:28" ht="15" x14ac:dyDescent="0.2">
      <c r="B51" s="7" t="s">
        <v>6</v>
      </c>
      <c r="C51" s="8">
        <f t="shared" ref="C51:N51" si="34">SUM(C52:C56)</f>
        <v>0</v>
      </c>
      <c r="D51" s="8">
        <f t="shared" si="34"/>
        <v>0</v>
      </c>
      <c r="E51" s="8">
        <f t="shared" si="34"/>
        <v>0</v>
      </c>
      <c r="F51" s="8">
        <f t="shared" si="34"/>
        <v>0</v>
      </c>
      <c r="G51" s="8">
        <f t="shared" si="34"/>
        <v>0</v>
      </c>
      <c r="H51" s="8">
        <f t="shared" si="34"/>
        <v>0</v>
      </c>
      <c r="I51" s="8">
        <f t="shared" si="34"/>
        <v>0</v>
      </c>
      <c r="J51" s="8">
        <f t="shared" si="34"/>
        <v>0</v>
      </c>
      <c r="K51" s="8">
        <f t="shared" si="34"/>
        <v>0</v>
      </c>
      <c r="L51" s="8">
        <f t="shared" si="34"/>
        <v>0</v>
      </c>
      <c r="M51" s="8">
        <f t="shared" si="34"/>
        <v>0</v>
      </c>
      <c r="N51" s="8">
        <f t="shared" si="34"/>
        <v>0</v>
      </c>
      <c r="O51" s="9">
        <f t="shared" si="32"/>
        <v>0</v>
      </c>
      <c r="P51" s="8">
        <f t="shared" ref="P51:AA51" si="35">SUM(P52:P56)</f>
        <v>0</v>
      </c>
      <c r="Q51" s="8">
        <f t="shared" si="35"/>
        <v>0</v>
      </c>
      <c r="R51" s="8">
        <f t="shared" si="35"/>
        <v>0</v>
      </c>
      <c r="S51" s="8">
        <f t="shared" si="35"/>
        <v>0</v>
      </c>
      <c r="T51" s="8">
        <f t="shared" si="35"/>
        <v>0</v>
      </c>
      <c r="U51" s="8">
        <f t="shared" si="35"/>
        <v>0</v>
      </c>
      <c r="V51" s="8">
        <f t="shared" si="35"/>
        <v>0</v>
      </c>
      <c r="W51" s="8">
        <f t="shared" si="35"/>
        <v>0</v>
      </c>
      <c r="X51" s="8">
        <f t="shared" si="35"/>
        <v>0</v>
      </c>
      <c r="Y51" s="8">
        <f t="shared" si="35"/>
        <v>0</v>
      </c>
      <c r="Z51" s="8">
        <f t="shared" si="35"/>
        <v>0</v>
      </c>
      <c r="AA51" s="8">
        <f t="shared" si="35"/>
        <v>0</v>
      </c>
      <c r="AB51" s="9">
        <f t="shared" si="33"/>
        <v>0</v>
      </c>
    </row>
    <row r="52" spans="1:28" ht="15" outlineLevel="1" x14ac:dyDescent="0.2">
      <c r="A52" s="2">
        <v>1</v>
      </c>
      <c r="B52" s="54" t="s">
        <v>75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9">
        <f t="shared" si="32"/>
        <v>0</v>
      </c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9">
        <f t="shared" si="33"/>
        <v>0</v>
      </c>
    </row>
    <row r="53" spans="1:28" outlineLevel="1" x14ac:dyDescent="0.2">
      <c r="A53" s="2">
        <v>2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9">
        <f t="shared" si="32"/>
        <v>0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9">
        <f t="shared" si="33"/>
        <v>0</v>
      </c>
    </row>
    <row r="54" spans="1:28" outlineLevel="1" x14ac:dyDescent="0.2">
      <c r="A54" s="2">
        <v>3</v>
      </c>
      <c r="B54" s="54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9">
        <f t="shared" si="32"/>
        <v>0</v>
      </c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9">
        <f t="shared" si="33"/>
        <v>0</v>
      </c>
    </row>
    <row r="55" spans="1:28" outlineLevel="1" x14ac:dyDescent="0.2">
      <c r="A55" s="2">
        <v>4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9">
        <f t="shared" si="32"/>
        <v>0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9">
        <f t="shared" si="33"/>
        <v>0</v>
      </c>
    </row>
    <row r="56" spans="1:28" outlineLevel="1" x14ac:dyDescent="0.2">
      <c r="A56" s="2">
        <v>16</v>
      </c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9">
        <f t="shared" si="32"/>
        <v>0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9">
        <f t="shared" si="33"/>
        <v>0</v>
      </c>
    </row>
    <row r="57" spans="1:28" ht="15" x14ac:dyDescent="0.2">
      <c r="B57" s="7" t="s">
        <v>7</v>
      </c>
      <c r="C57" s="8">
        <f t="shared" ref="C57:N57" si="36">SUM(C58:C63)</f>
        <v>802.39583333333326</v>
      </c>
      <c r="D57" s="8">
        <f t="shared" si="36"/>
        <v>4154.1666666666661</v>
      </c>
      <c r="E57" s="8">
        <f t="shared" si="36"/>
        <v>4154.1666666666661</v>
      </c>
      <c r="F57" s="8">
        <f t="shared" si="36"/>
        <v>4154.1666666666661</v>
      </c>
      <c r="G57" s="8">
        <f t="shared" si="36"/>
        <v>4154.1666666666661</v>
      </c>
      <c r="H57" s="8">
        <f t="shared" si="36"/>
        <v>4154.1666666666661</v>
      </c>
      <c r="I57" s="8">
        <f t="shared" si="36"/>
        <v>4154.1666666666661</v>
      </c>
      <c r="J57" s="8">
        <f t="shared" si="36"/>
        <v>4154.1666666666661</v>
      </c>
      <c r="K57" s="8">
        <f t="shared" si="36"/>
        <v>4154.1666666666661</v>
      </c>
      <c r="L57" s="8">
        <f t="shared" si="36"/>
        <v>4154.1666666666661</v>
      </c>
      <c r="M57" s="8">
        <f t="shared" si="36"/>
        <v>4154.1666666666661</v>
      </c>
      <c r="N57" s="8">
        <f t="shared" si="36"/>
        <v>4154.1666666666661</v>
      </c>
      <c r="O57" s="9">
        <f t="shared" si="32"/>
        <v>46498.22916666665</v>
      </c>
      <c r="P57" s="8">
        <f t="shared" ref="P57:AA57" si="37">SUM(P58:P63)</f>
        <v>12462.5</v>
      </c>
      <c r="Q57" s="8">
        <f t="shared" si="37"/>
        <v>12462.5</v>
      </c>
      <c r="R57" s="8">
        <f t="shared" si="37"/>
        <v>12462.5</v>
      </c>
      <c r="S57" s="8">
        <f t="shared" si="37"/>
        <v>12462.5</v>
      </c>
      <c r="T57" s="8">
        <f t="shared" si="37"/>
        <v>12462.5</v>
      </c>
      <c r="U57" s="8">
        <f t="shared" si="37"/>
        <v>12462.5</v>
      </c>
      <c r="V57" s="8">
        <f t="shared" si="37"/>
        <v>12462.5</v>
      </c>
      <c r="W57" s="8">
        <f t="shared" si="37"/>
        <v>12462.5</v>
      </c>
      <c r="X57" s="8">
        <f t="shared" si="37"/>
        <v>12462.5</v>
      </c>
      <c r="Y57" s="8">
        <f t="shared" si="37"/>
        <v>12462.5</v>
      </c>
      <c r="Z57" s="8">
        <f t="shared" si="37"/>
        <v>12462.5</v>
      </c>
      <c r="AA57" s="8">
        <f t="shared" si="37"/>
        <v>12462.5</v>
      </c>
      <c r="AB57" s="9">
        <f t="shared" si="33"/>
        <v>149550</v>
      </c>
    </row>
    <row r="58" spans="1:28" outlineLevel="1" x14ac:dyDescent="0.2">
      <c r="A58" s="2">
        <v>1</v>
      </c>
      <c r="B58" s="10"/>
      <c r="C58" s="20">
        <f>C101*5%</f>
        <v>802.39583333333326</v>
      </c>
      <c r="D58" s="20">
        <f t="shared" ref="D58:N58" si="38">D101*5%</f>
        <v>4154.1666666666661</v>
      </c>
      <c r="E58" s="20">
        <f t="shared" si="38"/>
        <v>4154.1666666666661</v>
      </c>
      <c r="F58" s="20">
        <f t="shared" si="38"/>
        <v>4154.1666666666661</v>
      </c>
      <c r="G58" s="20">
        <f t="shared" si="38"/>
        <v>4154.1666666666661</v>
      </c>
      <c r="H58" s="20">
        <f t="shared" si="38"/>
        <v>4154.1666666666661</v>
      </c>
      <c r="I58" s="20">
        <f t="shared" si="38"/>
        <v>4154.1666666666661</v>
      </c>
      <c r="J58" s="20">
        <f t="shared" si="38"/>
        <v>4154.1666666666661</v>
      </c>
      <c r="K58" s="20">
        <f t="shared" si="38"/>
        <v>4154.1666666666661</v>
      </c>
      <c r="L58" s="20">
        <f t="shared" si="38"/>
        <v>4154.1666666666661</v>
      </c>
      <c r="M58" s="20">
        <f t="shared" si="38"/>
        <v>4154.1666666666661</v>
      </c>
      <c r="N58" s="20">
        <f t="shared" si="38"/>
        <v>4154.1666666666661</v>
      </c>
      <c r="O58" s="9">
        <f t="shared" si="32"/>
        <v>46498.22916666665</v>
      </c>
      <c r="P58" s="20">
        <f>P101*5%</f>
        <v>12462.5</v>
      </c>
      <c r="Q58" s="20">
        <f t="shared" ref="Q58:AA58" si="39">Q101*5%</f>
        <v>12462.5</v>
      </c>
      <c r="R58" s="20">
        <f t="shared" si="39"/>
        <v>12462.5</v>
      </c>
      <c r="S58" s="20">
        <f t="shared" si="39"/>
        <v>12462.5</v>
      </c>
      <c r="T58" s="20">
        <f t="shared" si="39"/>
        <v>12462.5</v>
      </c>
      <c r="U58" s="20">
        <f t="shared" si="39"/>
        <v>12462.5</v>
      </c>
      <c r="V58" s="20">
        <f t="shared" si="39"/>
        <v>12462.5</v>
      </c>
      <c r="W58" s="20">
        <f t="shared" si="39"/>
        <v>12462.5</v>
      </c>
      <c r="X58" s="20">
        <f t="shared" si="39"/>
        <v>12462.5</v>
      </c>
      <c r="Y58" s="20">
        <f t="shared" si="39"/>
        <v>12462.5</v>
      </c>
      <c r="Z58" s="20">
        <f t="shared" si="39"/>
        <v>12462.5</v>
      </c>
      <c r="AA58" s="20">
        <f t="shared" si="39"/>
        <v>12462.5</v>
      </c>
      <c r="AB58" s="9">
        <f t="shared" si="33"/>
        <v>149550</v>
      </c>
    </row>
    <row r="59" spans="1:28" outlineLevel="1" x14ac:dyDescent="0.2">
      <c r="A59" s="2">
        <v>2</v>
      </c>
      <c r="B59" s="10"/>
      <c r="C59" s="11"/>
      <c r="D59" s="11"/>
      <c r="E59" s="11"/>
      <c r="F59" s="11"/>
      <c r="G59" s="13"/>
      <c r="H59" s="11"/>
      <c r="I59" s="11"/>
      <c r="J59" s="11"/>
      <c r="K59" s="11"/>
      <c r="L59" s="11"/>
      <c r="M59" s="11"/>
      <c r="N59" s="11"/>
      <c r="O59" s="9">
        <f t="shared" si="32"/>
        <v>0</v>
      </c>
      <c r="P59" s="11"/>
      <c r="Q59" s="11"/>
      <c r="R59" s="11"/>
      <c r="S59" s="11"/>
      <c r="T59" s="13"/>
      <c r="U59" s="11"/>
      <c r="V59" s="11"/>
      <c r="W59" s="11"/>
      <c r="X59" s="11"/>
      <c r="Y59" s="11"/>
      <c r="Z59" s="11"/>
      <c r="AA59" s="11"/>
      <c r="AB59" s="9">
        <f t="shared" si="33"/>
        <v>0</v>
      </c>
    </row>
    <row r="60" spans="1:28" outlineLevel="1" x14ac:dyDescent="0.2">
      <c r="A60" s="2">
        <v>3</v>
      </c>
      <c r="B60" s="10"/>
      <c r="C60" s="11"/>
      <c r="D60" s="11"/>
      <c r="E60" s="11"/>
      <c r="F60" s="11"/>
      <c r="G60" s="13"/>
      <c r="H60" s="11"/>
      <c r="I60" s="11"/>
      <c r="J60" s="11"/>
      <c r="K60" s="11"/>
      <c r="L60" s="11"/>
      <c r="M60" s="11"/>
      <c r="N60" s="11"/>
      <c r="O60" s="9">
        <f t="shared" si="32"/>
        <v>0</v>
      </c>
      <c r="P60" s="11"/>
      <c r="Q60" s="11"/>
      <c r="R60" s="11"/>
      <c r="S60" s="11"/>
      <c r="T60" s="13"/>
      <c r="U60" s="11"/>
      <c r="V60" s="11"/>
      <c r="W60" s="11"/>
      <c r="X60" s="11"/>
      <c r="Y60" s="11"/>
      <c r="Z60" s="11"/>
      <c r="AA60" s="11"/>
      <c r="AB60" s="9">
        <f t="shared" si="33"/>
        <v>0</v>
      </c>
    </row>
    <row r="61" spans="1:28" outlineLevel="1" x14ac:dyDescent="0.2">
      <c r="A61" s="2">
        <v>4</v>
      </c>
      <c r="B61" s="10"/>
      <c r="C61" s="11"/>
      <c r="D61" s="11"/>
      <c r="E61" s="11"/>
      <c r="F61" s="20"/>
      <c r="G61" s="13"/>
      <c r="H61" s="11"/>
      <c r="I61" s="11"/>
      <c r="J61" s="11"/>
      <c r="K61" s="11"/>
      <c r="L61" s="11"/>
      <c r="M61" s="11"/>
      <c r="N61" s="11"/>
      <c r="O61" s="9">
        <f t="shared" si="32"/>
        <v>0</v>
      </c>
      <c r="P61" s="11"/>
      <c r="Q61" s="11"/>
      <c r="R61" s="11"/>
      <c r="S61" s="20"/>
      <c r="T61" s="13"/>
      <c r="U61" s="11"/>
      <c r="V61" s="11"/>
      <c r="W61" s="11"/>
      <c r="X61" s="11"/>
      <c r="Y61" s="11"/>
      <c r="Z61" s="11"/>
      <c r="AA61" s="11"/>
      <c r="AB61" s="9">
        <f t="shared" si="33"/>
        <v>0</v>
      </c>
    </row>
    <row r="62" spans="1:28" outlineLevel="1" x14ac:dyDescent="0.2">
      <c r="A62" s="2">
        <v>5</v>
      </c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9">
        <f t="shared" si="32"/>
        <v>0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9">
        <f t="shared" si="33"/>
        <v>0</v>
      </c>
    </row>
    <row r="63" spans="1:28" outlineLevel="1" x14ac:dyDescent="0.2">
      <c r="A63" s="2">
        <v>6</v>
      </c>
      <c r="B63" s="10"/>
      <c r="C63" s="11"/>
      <c r="D63" s="11"/>
      <c r="E63" s="11"/>
      <c r="F63" s="11"/>
      <c r="G63" s="13"/>
      <c r="H63" s="11"/>
      <c r="I63" s="11"/>
      <c r="J63" s="11"/>
      <c r="K63" s="11"/>
      <c r="L63" s="11"/>
      <c r="M63" s="11"/>
      <c r="N63" s="11"/>
      <c r="O63" s="9">
        <f t="shared" si="32"/>
        <v>0</v>
      </c>
      <c r="P63" s="11"/>
      <c r="Q63" s="11"/>
      <c r="R63" s="11"/>
      <c r="S63" s="11"/>
      <c r="T63" s="13"/>
      <c r="U63" s="11"/>
      <c r="V63" s="11"/>
      <c r="W63" s="11"/>
      <c r="X63" s="11"/>
      <c r="Y63" s="11"/>
      <c r="Z63" s="11"/>
      <c r="AA63" s="11"/>
      <c r="AB63" s="9">
        <f t="shared" si="33"/>
        <v>0</v>
      </c>
    </row>
    <row r="64" spans="1:28" ht="15" x14ac:dyDescent="0.2">
      <c r="B64" s="7" t="s">
        <v>8</v>
      </c>
      <c r="C64" s="8">
        <f t="shared" ref="C64:N64" si="40">SUM(C65:C67)</f>
        <v>500</v>
      </c>
      <c r="D64" s="8">
        <f t="shared" si="40"/>
        <v>500</v>
      </c>
      <c r="E64" s="8">
        <f t="shared" si="40"/>
        <v>500</v>
      </c>
      <c r="F64" s="8">
        <f t="shared" si="40"/>
        <v>500</v>
      </c>
      <c r="G64" s="8">
        <f t="shared" si="40"/>
        <v>500</v>
      </c>
      <c r="H64" s="8">
        <f t="shared" si="40"/>
        <v>500</v>
      </c>
      <c r="I64" s="8">
        <f t="shared" si="40"/>
        <v>500</v>
      </c>
      <c r="J64" s="8">
        <f t="shared" si="40"/>
        <v>500</v>
      </c>
      <c r="K64" s="8">
        <f t="shared" si="40"/>
        <v>500</v>
      </c>
      <c r="L64" s="8">
        <f t="shared" si="40"/>
        <v>500</v>
      </c>
      <c r="M64" s="8">
        <f t="shared" si="40"/>
        <v>500</v>
      </c>
      <c r="N64" s="8">
        <f t="shared" si="40"/>
        <v>500</v>
      </c>
      <c r="O64" s="9">
        <f t="shared" ref="O64:O76" si="41">SUM(C64:N64)</f>
        <v>6000</v>
      </c>
      <c r="P64" s="8">
        <f t="shared" ref="P64:AA64" si="42">SUM(P65:P67)</f>
        <v>1000</v>
      </c>
      <c r="Q64" s="8">
        <f t="shared" si="42"/>
        <v>1000</v>
      </c>
      <c r="R64" s="8">
        <f t="shared" si="42"/>
        <v>1000</v>
      </c>
      <c r="S64" s="8">
        <f t="shared" si="42"/>
        <v>1000</v>
      </c>
      <c r="T64" s="8">
        <f t="shared" si="42"/>
        <v>1000</v>
      </c>
      <c r="U64" s="8">
        <f t="shared" si="42"/>
        <v>1000</v>
      </c>
      <c r="V64" s="8">
        <f t="shared" si="42"/>
        <v>1000</v>
      </c>
      <c r="W64" s="8">
        <f t="shared" si="42"/>
        <v>1000</v>
      </c>
      <c r="X64" s="8">
        <f t="shared" si="42"/>
        <v>1000</v>
      </c>
      <c r="Y64" s="8">
        <f t="shared" si="42"/>
        <v>1000</v>
      </c>
      <c r="Z64" s="8">
        <f t="shared" si="42"/>
        <v>1000</v>
      </c>
      <c r="AA64" s="8">
        <f t="shared" si="42"/>
        <v>1000</v>
      </c>
      <c r="AB64" s="9">
        <f t="shared" ref="AB64:AB76" si="43">SUM(P64:AA64)</f>
        <v>12000</v>
      </c>
    </row>
    <row r="65" spans="1:28" ht="15" outlineLevel="1" x14ac:dyDescent="0.2">
      <c r="A65" s="2">
        <v>1</v>
      </c>
      <c r="B65" s="10" t="s">
        <v>77</v>
      </c>
      <c r="C65" s="11">
        <v>500</v>
      </c>
      <c r="D65" s="11">
        <v>500</v>
      </c>
      <c r="E65" s="11">
        <v>500</v>
      </c>
      <c r="F65" s="11">
        <v>500</v>
      </c>
      <c r="G65" s="11">
        <v>500</v>
      </c>
      <c r="H65" s="11">
        <v>500</v>
      </c>
      <c r="I65" s="11">
        <v>500</v>
      </c>
      <c r="J65" s="11">
        <v>500</v>
      </c>
      <c r="K65" s="11">
        <v>500</v>
      </c>
      <c r="L65" s="11">
        <v>500</v>
      </c>
      <c r="M65" s="11">
        <v>500</v>
      </c>
      <c r="N65" s="11">
        <v>500</v>
      </c>
      <c r="O65" s="9">
        <f t="shared" si="41"/>
        <v>6000</v>
      </c>
      <c r="P65" s="11">
        <v>1000</v>
      </c>
      <c r="Q65" s="11">
        <v>1000</v>
      </c>
      <c r="R65" s="11">
        <v>1000</v>
      </c>
      <c r="S65" s="11">
        <v>1000</v>
      </c>
      <c r="T65" s="11">
        <v>1000</v>
      </c>
      <c r="U65" s="11">
        <v>1000</v>
      </c>
      <c r="V65" s="11">
        <v>1000</v>
      </c>
      <c r="W65" s="11">
        <v>1000</v>
      </c>
      <c r="X65" s="11">
        <v>1000</v>
      </c>
      <c r="Y65" s="11">
        <v>1000</v>
      </c>
      <c r="Z65" s="11">
        <v>1000</v>
      </c>
      <c r="AA65" s="11">
        <v>1000</v>
      </c>
      <c r="AB65" s="9">
        <f t="shared" si="43"/>
        <v>12000</v>
      </c>
    </row>
    <row r="66" spans="1:28" outlineLevel="1" x14ac:dyDescent="0.2">
      <c r="A66" s="2">
        <v>2</v>
      </c>
      <c r="B66" s="10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9">
        <f t="shared" si="41"/>
        <v>0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9">
        <f t="shared" si="43"/>
        <v>0</v>
      </c>
    </row>
    <row r="67" spans="1:28" outlineLevel="1" x14ac:dyDescent="0.2">
      <c r="A67" s="2">
        <v>3</v>
      </c>
      <c r="B67" s="10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9">
        <f t="shared" si="41"/>
        <v>0</v>
      </c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9">
        <f t="shared" si="43"/>
        <v>0</v>
      </c>
    </row>
    <row r="68" spans="1:28" ht="15" x14ac:dyDescent="0.2">
      <c r="B68" s="7" t="s">
        <v>9</v>
      </c>
      <c r="C68" s="8">
        <f t="shared" ref="C68:N68" si="44">SUM(C69:C76)</f>
        <v>500</v>
      </c>
      <c r="D68" s="8">
        <f t="shared" si="44"/>
        <v>15000</v>
      </c>
      <c r="E68" s="8">
        <f t="shared" si="44"/>
        <v>15000</v>
      </c>
      <c r="F68" s="8">
        <f t="shared" si="44"/>
        <v>15000</v>
      </c>
      <c r="G68" s="8">
        <f t="shared" si="44"/>
        <v>15000</v>
      </c>
      <c r="H68" s="8">
        <f t="shared" si="44"/>
        <v>15000</v>
      </c>
      <c r="I68" s="8">
        <f t="shared" si="44"/>
        <v>15000</v>
      </c>
      <c r="J68" s="8">
        <f t="shared" si="44"/>
        <v>15000</v>
      </c>
      <c r="K68" s="8">
        <f t="shared" si="44"/>
        <v>15000</v>
      </c>
      <c r="L68" s="8">
        <f t="shared" si="44"/>
        <v>15000</v>
      </c>
      <c r="M68" s="8">
        <f t="shared" si="44"/>
        <v>15000</v>
      </c>
      <c r="N68" s="8">
        <f t="shared" si="44"/>
        <v>15000</v>
      </c>
      <c r="O68" s="9">
        <f t="shared" si="41"/>
        <v>165500</v>
      </c>
      <c r="P68" s="8">
        <f t="shared" ref="P68:AA68" si="45">SUM(P69:P76)</f>
        <v>45000</v>
      </c>
      <c r="Q68" s="8">
        <f t="shared" si="45"/>
        <v>45000</v>
      </c>
      <c r="R68" s="8">
        <f t="shared" si="45"/>
        <v>45000</v>
      </c>
      <c r="S68" s="8">
        <f t="shared" si="45"/>
        <v>45000</v>
      </c>
      <c r="T68" s="8">
        <f t="shared" si="45"/>
        <v>45000</v>
      </c>
      <c r="U68" s="8">
        <f t="shared" si="45"/>
        <v>45000</v>
      </c>
      <c r="V68" s="8">
        <f t="shared" si="45"/>
        <v>45000</v>
      </c>
      <c r="W68" s="8">
        <f t="shared" si="45"/>
        <v>45000</v>
      </c>
      <c r="X68" s="8">
        <f t="shared" si="45"/>
        <v>45000</v>
      </c>
      <c r="Y68" s="8">
        <f t="shared" si="45"/>
        <v>45000</v>
      </c>
      <c r="Z68" s="8">
        <f t="shared" si="45"/>
        <v>45000</v>
      </c>
      <c r="AA68" s="8">
        <f t="shared" si="45"/>
        <v>45000</v>
      </c>
      <c r="AB68" s="9">
        <f t="shared" si="43"/>
        <v>540000</v>
      </c>
    </row>
    <row r="69" spans="1:28" ht="15" outlineLevel="1" x14ac:dyDescent="0.2">
      <c r="A69" s="2">
        <v>1</v>
      </c>
      <c r="B69" s="62" t="s">
        <v>53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9">
        <f t="shared" si="41"/>
        <v>0</v>
      </c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9">
        <f t="shared" si="43"/>
        <v>0</v>
      </c>
    </row>
    <row r="70" spans="1:28" ht="15" outlineLevel="1" x14ac:dyDescent="0.2">
      <c r="A70" s="2">
        <v>2</v>
      </c>
      <c r="B70" s="10" t="s">
        <v>47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9">
        <f t="shared" si="41"/>
        <v>0</v>
      </c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9">
        <f t="shared" si="43"/>
        <v>0</v>
      </c>
    </row>
    <row r="71" spans="1:28" ht="15" outlineLevel="1" x14ac:dyDescent="0.2">
      <c r="A71" s="2">
        <v>3</v>
      </c>
      <c r="B71" s="54" t="s">
        <v>48</v>
      </c>
      <c r="C71" s="11">
        <v>200</v>
      </c>
      <c r="D71" s="11">
        <f>$C$71*10</f>
        <v>2000</v>
      </c>
      <c r="E71" s="11">
        <f t="shared" ref="E71:N71" si="46">$C$71*10</f>
        <v>2000</v>
      </c>
      <c r="F71" s="11">
        <f t="shared" si="46"/>
        <v>2000</v>
      </c>
      <c r="G71" s="11">
        <f t="shared" si="46"/>
        <v>2000</v>
      </c>
      <c r="H71" s="11">
        <f t="shared" si="46"/>
        <v>2000</v>
      </c>
      <c r="I71" s="11">
        <f t="shared" si="46"/>
        <v>2000</v>
      </c>
      <c r="J71" s="11">
        <f t="shared" si="46"/>
        <v>2000</v>
      </c>
      <c r="K71" s="11">
        <f t="shared" si="46"/>
        <v>2000</v>
      </c>
      <c r="L71" s="11">
        <f t="shared" si="46"/>
        <v>2000</v>
      </c>
      <c r="M71" s="11">
        <f t="shared" si="46"/>
        <v>2000</v>
      </c>
      <c r="N71" s="11">
        <f t="shared" si="46"/>
        <v>2000</v>
      </c>
      <c r="O71" s="9">
        <f t="shared" si="41"/>
        <v>22200</v>
      </c>
      <c r="P71" s="11">
        <f>200*30</f>
        <v>6000</v>
      </c>
      <c r="Q71" s="11">
        <f t="shared" ref="Q71:AA71" si="47">200*30</f>
        <v>6000</v>
      </c>
      <c r="R71" s="11">
        <f t="shared" si="47"/>
        <v>6000</v>
      </c>
      <c r="S71" s="11">
        <f t="shared" si="47"/>
        <v>6000</v>
      </c>
      <c r="T71" s="11">
        <f t="shared" si="47"/>
        <v>6000</v>
      </c>
      <c r="U71" s="11">
        <f t="shared" si="47"/>
        <v>6000</v>
      </c>
      <c r="V71" s="11">
        <f t="shared" si="47"/>
        <v>6000</v>
      </c>
      <c r="W71" s="11">
        <f t="shared" si="47"/>
        <v>6000</v>
      </c>
      <c r="X71" s="11">
        <f t="shared" si="47"/>
        <v>6000</v>
      </c>
      <c r="Y71" s="11">
        <f t="shared" si="47"/>
        <v>6000</v>
      </c>
      <c r="Z71" s="11">
        <f t="shared" si="47"/>
        <v>6000</v>
      </c>
      <c r="AA71" s="11">
        <f t="shared" si="47"/>
        <v>6000</v>
      </c>
      <c r="AB71" s="9">
        <f t="shared" si="43"/>
        <v>72000</v>
      </c>
    </row>
    <row r="72" spans="1:28" ht="15" outlineLevel="1" x14ac:dyDescent="0.2">
      <c r="A72" s="2">
        <v>4</v>
      </c>
      <c r="B72" s="54" t="s">
        <v>54</v>
      </c>
      <c r="C72" s="11">
        <v>50</v>
      </c>
      <c r="D72" s="11">
        <f>$C$72*10</f>
        <v>500</v>
      </c>
      <c r="E72" s="11">
        <f t="shared" ref="E72:N72" si="48">$C$72*10</f>
        <v>500</v>
      </c>
      <c r="F72" s="11">
        <f t="shared" si="48"/>
        <v>500</v>
      </c>
      <c r="G72" s="11">
        <f t="shared" si="48"/>
        <v>500</v>
      </c>
      <c r="H72" s="11">
        <f t="shared" si="48"/>
        <v>500</v>
      </c>
      <c r="I72" s="11">
        <f t="shared" si="48"/>
        <v>500</v>
      </c>
      <c r="J72" s="11">
        <f t="shared" si="48"/>
        <v>500</v>
      </c>
      <c r="K72" s="11">
        <f t="shared" si="48"/>
        <v>500</v>
      </c>
      <c r="L72" s="11">
        <f t="shared" si="48"/>
        <v>500</v>
      </c>
      <c r="M72" s="11">
        <f t="shared" si="48"/>
        <v>500</v>
      </c>
      <c r="N72" s="11">
        <f t="shared" si="48"/>
        <v>500</v>
      </c>
      <c r="O72" s="9">
        <f t="shared" si="41"/>
        <v>5550</v>
      </c>
      <c r="P72" s="11">
        <f>50*30</f>
        <v>1500</v>
      </c>
      <c r="Q72" s="11">
        <f t="shared" ref="Q72:AA72" si="49">50*30</f>
        <v>1500</v>
      </c>
      <c r="R72" s="11">
        <f t="shared" si="49"/>
        <v>1500</v>
      </c>
      <c r="S72" s="11">
        <f t="shared" si="49"/>
        <v>1500</v>
      </c>
      <c r="T72" s="11">
        <f t="shared" si="49"/>
        <v>1500</v>
      </c>
      <c r="U72" s="11">
        <f t="shared" si="49"/>
        <v>1500</v>
      </c>
      <c r="V72" s="11">
        <f t="shared" si="49"/>
        <v>1500</v>
      </c>
      <c r="W72" s="11">
        <f t="shared" si="49"/>
        <v>1500</v>
      </c>
      <c r="X72" s="11">
        <f t="shared" si="49"/>
        <v>1500</v>
      </c>
      <c r="Y72" s="11">
        <f t="shared" si="49"/>
        <v>1500</v>
      </c>
      <c r="Z72" s="11">
        <f t="shared" si="49"/>
        <v>1500</v>
      </c>
      <c r="AA72" s="11">
        <f t="shared" si="49"/>
        <v>1500</v>
      </c>
      <c r="AB72" s="9">
        <f t="shared" si="43"/>
        <v>18000</v>
      </c>
    </row>
    <row r="73" spans="1:28" ht="15" outlineLevel="1" x14ac:dyDescent="0.2">
      <c r="A73" s="2">
        <v>5</v>
      </c>
      <c r="B73" s="10" t="s">
        <v>49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9">
        <f t="shared" si="41"/>
        <v>0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9">
        <f t="shared" si="43"/>
        <v>0</v>
      </c>
    </row>
    <row r="74" spans="1:28" ht="15" outlineLevel="1" x14ac:dyDescent="0.2">
      <c r="A74" s="2">
        <v>6</v>
      </c>
      <c r="B74" s="68" t="s">
        <v>74</v>
      </c>
      <c r="C74" s="11">
        <v>100</v>
      </c>
      <c r="D74" s="11">
        <f>$C$74*10</f>
        <v>1000</v>
      </c>
      <c r="E74" s="11">
        <f t="shared" ref="E74:N74" si="50">$C$74*10</f>
        <v>1000</v>
      </c>
      <c r="F74" s="11">
        <f t="shared" si="50"/>
        <v>1000</v>
      </c>
      <c r="G74" s="11">
        <f t="shared" si="50"/>
        <v>1000</v>
      </c>
      <c r="H74" s="11">
        <f t="shared" si="50"/>
        <v>1000</v>
      </c>
      <c r="I74" s="11">
        <f t="shared" si="50"/>
        <v>1000</v>
      </c>
      <c r="J74" s="11">
        <f t="shared" si="50"/>
        <v>1000</v>
      </c>
      <c r="K74" s="11">
        <f t="shared" si="50"/>
        <v>1000</v>
      </c>
      <c r="L74" s="11">
        <f t="shared" si="50"/>
        <v>1000</v>
      </c>
      <c r="M74" s="11">
        <f t="shared" si="50"/>
        <v>1000</v>
      </c>
      <c r="N74" s="11">
        <f t="shared" si="50"/>
        <v>1000</v>
      </c>
      <c r="O74" s="9">
        <f t="shared" si="41"/>
        <v>11100</v>
      </c>
      <c r="P74" s="11">
        <f>100*30</f>
        <v>3000</v>
      </c>
      <c r="Q74" s="11">
        <f t="shared" ref="Q74:AA74" si="51">100*30</f>
        <v>3000</v>
      </c>
      <c r="R74" s="11">
        <f t="shared" si="51"/>
        <v>3000</v>
      </c>
      <c r="S74" s="11">
        <f t="shared" si="51"/>
        <v>3000</v>
      </c>
      <c r="T74" s="11">
        <f t="shared" si="51"/>
        <v>3000</v>
      </c>
      <c r="U74" s="11">
        <f t="shared" si="51"/>
        <v>3000</v>
      </c>
      <c r="V74" s="11">
        <f t="shared" si="51"/>
        <v>3000</v>
      </c>
      <c r="W74" s="11">
        <f t="shared" si="51"/>
        <v>3000</v>
      </c>
      <c r="X74" s="11">
        <f t="shared" si="51"/>
        <v>3000</v>
      </c>
      <c r="Y74" s="11">
        <f t="shared" si="51"/>
        <v>3000</v>
      </c>
      <c r="Z74" s="11">
        <f t="shared" si="51"/>
        <v>3000</v>
      </c>
      <c r="AA74" s="11">
        <f t="shared" si="51"/>
        <v>3000</v>
      </c>
      <c r="AB74" s="9">
        <f t="shared" si="43"/>
        <v>36000</v>
      </c>
    </row>
    <row r="75" spans="1:28" ht="15" outlineLevel="1" x14ac:dyDescent="0.2">
      <c r="A75" s="2">
        <v>7</v>
      </c>
      <c r="B75" s="49" t="s">
        <v>78</v>
      </c>
      <c r="C75" s="11"/>
      <c r="D75" s="11">
        <f>1000*10</f>
        <v>10000</v>
      </c>
      <c r="E75" s="11">
        <f t="shared" ref="E75:N75" si="52">1000*10</f>
        <v>10000</v>
      </c>
      <c r="F75" s="11">
        <f t="shared" si="52"/>
        <v>10000</v>
      </c>
      <c r="G75" s="11">
        <f t="shared" si="52"/>
        <v>10000</v>
      </c>
      <c r="H75" s="11">
        <f t="shared" si="52"/>
        <v>10000</v>
      </c>
      <c r="I75" s="11">
        <f t="shared" si="52"/>
        <v>10000</v>
      </c>
      <c r="J75" s="11">
        <f t="shared" si="52"/>
        <v>10000</v>
      </c>
      <c r="K75" s="11">
        <f t="shared" si="52"/>
        <v>10000</v>
      </c>
      <c r="L75" s="11">
        <f t="shared" si="52"/>
        <v>10000</v>
      </c>
      <c r="M75" s="11">
        <f t="shared" si="52"/>
        <v>10000</v>
      </c>
      <c r="N75" s="11">
        <f t="shared" si="52"/>
        <v>10000</v>
      </c>
      <c r="O75" s="9">
        <f t="shared" si="41"/>
        <v>110000</v>
      </c>
      <c r="P75" s="11">
        <f>1000*30</f>
        <v>30000</v>
      </c>
      <c r="Q75" s="11">
        <f t="shared" ref="Q75:AA75" si="53">1000*30</f>
        <v>30000</v>
      </c>
      <c r="R75" s="11">
        <f t="shared" si="53"/>
        <v>30000</v>
      </c>
      <c r="S75" s="11">
        <f t="shared" si="53"/>
        <v>30000</v>
      </c>
      <c r="T75" s="11">
        <f t="shared" si="53"/>
        <v>30000</v>
      </c>
      <c r="U75" s="11">
        <f t="shared" si="53"/>
        <v>30000</v>
      </c>
      <c r="V75" s="11">
        <f t="shared" si="53"/>
        <v>30000</v>
      </c>
      <c r="W75" s="11">
        <f t="shared" si="53"/>
        <v>30000</v>
      </c>
      <c r="X75" s="11">
        <f t="shared" si="53"/>
        <v>30000</v>
      </c>
      <c r="Y75" s="11">
        <f t="shared" si="53"/>
        <v>30000</v>
      </c>
      <c r="Z75" s="11">
        <f t="shared" si="53"/>
        <v>30000</v>
      </c>
      <c r="AA75" s="11">
        <f t="shared" si="53"/>
        <v>30000</v>
      </c>
      <c r="AB75" s="9">
        <f t="shared" si="43"/>
        <v>360000</v>
      </c>
    </row>
    <row r="76" spans="1:28" ht="30" outlineLevel="1" x14ac:dyDescent="0.2">
      <c r="A76" s="2">
        <v>8</v>
      </c>
      <c r="B76" s="49" t="s">
        <v>63</v>
      </c>
      <c r="C76" s="11">
        <v>150</v>
      </c>
      <c r="D76" s="11">
        <f>$C$76*10</f>
        <v>1500</v>
      </c>
      <c r="E76" s="11">
        <f t="shared" ref="E76:N76" si="54">$C$76*10</f>
        <v>1500</v>
      </c>
      <c r="F76" s="11">
        <f t="shared" si="54"/>
        <v>1500</v>
      </c>
      <c r="G76" s="11">
        <f t="shared" si="54"/>
        <v>1500</v>
      </c>
      <c r="H76" s="11">
        <f t="shared" si="54"/>
        <v>1500</v>
      </c>
      <c r="I76" s="11">
        <f t="shared" si="54"/>
        <v>1500</v>
      </c>
      <c r="J76" s="11">
        <f t="shared" si="54"/>
        <v>1500</v>
      </c>
      <c r="K76" s="11">
        <f t="shared" si="54"/>
        <v>1500</v>
      </c>
      <c r="L76" s="11">
        <f t="shared" si="54"/>
        <v>1500</v>
      </c>
      <c r="M76" s="11">
        <f t="shared" si="54"/>
        <v>1500</v>
      </c>
      <c r="N76" s="11">
        <f t="shared" si="54"/>
        <v>1500</v>
      </c>
      <c r="O76" s="9">
        <f t="shared" si="41"/>
        <v>16650</v>
      </c>
      <c r="P76" s="11">
        <f>150*30</f>
        <v>4500</v>
      </c>
      <c r="Q76" s="11">
        <f t="shared" ref="Q76:AA76" si="55">150*30</f>
        <v>4500</v>
      </c>
      <c r="R76" s="11">
        <f t="shared" si="55"/>
        <v>4500</v>
      </c>
      <c r="S76" s="11">
        <f t="shared" si="55"/>
        <v>4500</v>
      </c>
      <c r="T76" s="11">
        <f t="shared" si="55"/>
        <v>4500</v>
      </c>
      <c r="U76" s="11">
        <f t="shared" si="55"/>
        <v>4500</v>
      </c>
      <c r="V76" s="11">
        <f t="shared" si="55"/>
        <v>4500</v>
      </c>
      <c r="W76" s="11">
        <f t="shared" si="55"/>
        <v>4500</v>
      </c>
      <c r="X76" s="11">
        <f t="shared" si="55"/>
        <v>4500</v>
      </c>
      <c r="Y76" s="11">
        <f t="shared" si="55"/>
        <v>4500</v>
      </c>
      <c r="Z76" s="11">
        <f t="shared" si="55"/>
        <v>4500</v>
      </c>
      <c r="AA76" s="11">
        <f t="shared" si="55"/>
        <v>4500</v>
      </c>
      <c r="AB76" s="9">
        <f t="shared" si="43"/>
        <v>54000</v>
      </c>
    </row>
    <row r="77" spans="1:28" ht="15" x14ac:dyDescent="0.2">
      <c r="B77" s="7" t="s">
        <v>10</v>
      </c>
      <c r="C77" s="8">
        <f t="shared" ref="C77:N77" si="56">SUM(C78:C81)</f>
        <v>551.25</v>
      </c>
      <c r="D77" s="8">
        <f t="shared" si="56"/>
        <v>4700</v>
      </c>
      <c r="E77" s="8">
        <f t="shared" si="56"/>
        <v>6743.0188275</v>
      </c>
      <c r="F77" s="8">
        <f t="shared" si="56"/>
        <v>4700</v>
      </c>
      <c r="G77" s="8">
        <f t="shared" si="56"/>
        <v>4700</v>
      </c>
      <c r="H77" s="8">
        <f t="shared" si="56"/>
        <v>6743.0188275</v>
      </c>
      <c r="I77" s="8">
        <f t="shared" si="56"/>
        <v>4700</v>
      </c>
      <c r="J77" s="8">
        <f t="shared" si="56"/>
        <v>4700</v>
      </c>
      <c r="K77" s="8">
        <f t="shared" si="56"/>
        <v>6743.0188275</v>
      </c>
      <c r="L77" s="8">
        <f t="shared" si="56"/>
        <v>4700</v>
      </c>
      <c r="M77" s="8">
        <f t="shared" si="56"/>
        <v>4700</v>
      </c>
      <c r="N77" s="8">
        <f t="shared" si="56"/>
        <v>6743.0188275</v>
      </c>
      <c r="O77" s="9">
        <f t="shared" ref="O77:O84" si="57">SUM(C77:N77)</f>
        <v>60423.32531</v>
      </c>
      <c r="P77" s="8">
        <f t="shared" ref="P77:AA77" si="58">SUM(P78:P81)</f>
        <v>14100</v>
      </c>
      <c r="Q77" s="8">
        <f t="shared" si="58"/>
        <v>14100</v>
      </c>
      <c r="R77" s="8">
        <f t="shared" si="58"/>
        <v>15734.415062</v>
      </c>
      <c r="S77" s="8">
        <f t="shared" si="58"/>
        <v>14100</v>
      </c>
      <c r="T77" s="8">
        <f t="shared" si="58"/>
        <v>14100</v>
      </c>
      <c r="U77" s="8">
        <f t="shared" si="58"/>
        <v>15734.415062</v>
      </c>
      <c r="V77" s="8">
        <f t="shared" si="58"/>
        <v>14100</v>
      </c>
      <c r="W77" s="8">
        <f t="shared" si="58"/>
        <v>14100</v>
      </c>
      <c r="X77" s="8">
        <f t="shared" si="58"/>
        <v>15734.415062</v>
      </c>
      <c r="Y77" s="8">
        <f t="shared" si="58"/>
        <v>14100</v>
      </c>
      <c r="Z77" s="8">
        <f t="shared" si="58"/>
        <v>14100</v>
      </c>
      <c r="AA77" s="8">
        <f t="shared" si="58"/>
        <v>15734.415062</v>
      </c>
      <c r="AB77" s="9">
        <f t="shared" ref="AB77:AB84" si="59">SUM(P77:AA77)</f>
        <v>175737.660248</v>
      </c>
    </row>
    <row r="78" spans="1:28" ht="15" outlineLevel="1" x14ac:dyDescent="0.2">
      <c r="A78" s="2">
        <v>1</v>
      </c>
      <c r="B78" s="10" t="s">
        <v>20</v>
      </c>
      <c r="C78" s="11">
        <f t="shared" ref="C78:N78" si="60">(C39+C53)*25%</f>
        <v>551.25</v>
      </c>
      <c r="D78" s="11">
        <f t="shared" si="60"/>
        <v>4700</v>
      </c>
      <c r="E78" s="11">
        <f t="shared" si="60"/>
        <v>4700</v>
      </c>
      <c r="F78" s="11">
        <f t="shared" si="60"/>
        <v>4700</v>
      </c>
      <c r="G78" s="11">
        <f t="shared" si="60"/>
        <v>4700</v>
      </c>
      <c r="H78" s="11">
        <f t="shared" si="60"/>
        <v>4700</v>
      </c>
      <c r="I78" s="11">
        <f t="shared" si="60"/>
        <v>4700</v>
      </c>
      <c r="J78" s="11">
        <f t="shared" si="60"/>
        <v>4700</v>
      </c>
      <c r="K78" s="11">
        <f t="shared" si="60"/>
        <v>4700</v>
      </c>
      <c r="L78" s="11">
        <f t="shared" si="60"/>
        <v>4700</v>
      </c>
      <c r="M78" s="11">
        <f t="shared" si="60"/>
        <v>4700</v>
      </c>
      <c r="N78" s="11">
        <f t="shared" si="60"/>
        <v>4700</v>
      </c>
      <c r="O78" s="9">
        <f t="shared" si="57"/>
        <v>52251.25</v>
      </c>
      <c r="P78" s="11">
        <f t="shared" ref="P78:AA78" si="61">P39*25%</f>
        <v>14100</v>
      </c>
      <c r="Q78" s="11">
        <f t="shared" si="61"/>
        <v>14100</v>
      </c>
      <c r="R78" s="11">
        <f t="shared" si="61"/>
        <v>14100</v>
      </c>
      <c r="S78" s="11">
        <f t="shared" si="61"/>
        <v>14100</v>
      </c>
      <c r="T78" s="11">
        <f t="shared" si="61"/>
        <v>14100</v>
      </c>
      <c r="U78" s="11">
        <f t="shared" si="61"/>
        <v>14100</v>
      </c>
      <c r="V78" s="11">
        <f t="shared" si="61"/>
        <v>14100</v>
      </c>
      <c r="W78" s="11">
        <f t="shared" si="61"/>
        <v>14100</v>
      </c>
      <c r="X78" s="11">
        <f t="shared" si="61"/>
        <v>14100</v>
      </c>
      <c r="Y78" s="11">
        <f t="shared" si="61"/>
        <v>14100</v>
      </c>
      <c r="Z78" s="11">
        <f t="shared" si="61"/>
        <v>14100</v>
      </c>
      <c r="AA78" s="11">
        <f t="shared" si="61"/>
        <v>14100</v>
      </c>
      <c r="AB78" s="9">
        <f t="shared" si="59"/>
        <v>169200</v>
      </c>
    </row>
    <row r="79" spans="1:28" ht="15" outlineLevel="1" x14ac:dyDescent="0.2">
      <c r="A79" s="2">
        <v>2</v>
      </c>
      <c r="B79" s="10" t="s">
        <v>51</v>
      </c>
      <c r="C79" s="11"/>
      <c r="D79" s="11"/>
      <c r="E79" s="11">
        <f>SUM(C2:E2)*1%/4</f>
        <v>2043.0188275</v>
      </c>
      <c r="F79" s="11"/>
      <c r="G79" s="11"/>
      <c r="H79" s="11">
        <f>SUM(C2:H2)*1%/4</f>
        <v>2043.0188275</v>
      </c>
      <c r="I79" s="11"/>
      <c r="J79" s="11"/>
      <c r="K79" s="11">
        <f>SUM(C2:K2)*1%/4</f>
        <v>2043.0188275</v>
      </c>
      <c r="L79" s="11"/>
      <c r="M79" s="11"/>
      <c r="N79" s="11">
        <f>SUM(C2:N2)*1%/4</f>
        <v>2043.0188275</v>
      </c>
      <c r="O79" s="9">
        <f t="shared" si="57"/>
        <v>8172.0753100000002</v>
      </c>
      <c r="P79" s="11"/>
      <c r="Q79" s="11"/>
      <c r="R79" s="11">
        <f>($O$2-$O$2*20%)*1%/4</f>
        <v>1634.415062</v>
      </c>
      <c r="S79" s="11"/>
      <c r="T79" s="11"/>
      <c r="U79" s="11">
        <f>($O$2-$O$2*20%)*1%/4</f>
        <v>1634.415062</v>
      </c>
      <c r="V79" s="11"/>
      <c r="W79" s="11"/>
      <c r="X79" s="11">
        <f>($O$2-$O$2*20%)*1%/4</f>
        <v>1634.415062</v>
      </c>
      <c r="Y79" s="11"/>
      <c r="Z79" s="11"/>
      <c r="AA79" s="11">
        <f>($O$2-$O$2*20%)*1%/4</f>
        <v>1634.415062</v>
      </c>
      <c r="AB79" s="9">
        <f t="shared" si="59"/>
        <v>6537.6602480000001</v>
      </c>
    </row>
    <row r="80" spans="1:28" outlineLevel="1" x14ac:dyDescent="0.2">
      <c r="A80" s="2">
        <v>3</v>
      </c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9">
        <f t="shared" si="57"/>
        <v>0</v>
      </c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9">
        <f t="shared" si="59"/>
        <v>0</v>
      </c>
    </row>
    <row r="81" spans="1:28" outlineLevel="1" x14ac:dyDescent="0.2">
      <c r="A81" s="2">
        <v>16</v>
      </c>
      <c r="B81" s="10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9">
        <f t="shared" si="57"/>
        <v>0</v>
      </c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9">
        <f t="shared" si="59"/>
        <v>0</v>
      </c>
    </row>
    <row r="82" spans="1:28" ht="15" x14ac:dyDescent="0.2">
      <c r="B82" s="7" t="s">
        <v>11</v>
      </c>
      <c r="C82" s="8">
        <f t="shared" ref="C82:N82" si="62">SUM(C83:C85)</f>
        <v>227.93229166666666</v>
      </c>
      <c r="D82" s="8">
        <f t="shared" si="62"/>
        <v>2157.7083333333335</v>
      </c>
      <c r="E82" s="8">
        <f t="shared" si="62"/>
        <v>2259.8592747083335</v>
      </c>
      <c r="F82" s="8">
        <f t="shared" si="62"/>
        <v>2157.7083333333335</v>
      </c>
      <c r="G82" s="8">
        <f t="shared" si="62"/>
        <v>2157.7083333333335</v>
      </c>
      <c r="H82" s="8">
        <f t="shared" si="62"/>
        <v>2259.8592747083335</v>
      </c>
      <c r="I82" s="8">
        <f t="shared" si="62"/>
        <v>2157.7083333333335</v>
      </c>
      <c r="J82" s="8">
        <f t="shared" si="62"/>
        <v>2157.7083333333335</v>
      </c>
      <c r="K82" s="8">
        <f t="shared" si="62"/>
        <v>2259.8592747083335</v>
      </c>
      <c r="L82" s="8">
        <f t="shared" si="62"/>
        <v>2157.7083333333335</v>
      </c>
      <c r="M82" s="8">
        <f t="shared" si="62"/>
        <v>2157.7083333333335</v>
      </c>
      <c r="N82" s="8">
        <f t="shared" si="62"/>
        <v>2259.8592747083335</v>
      </c>
      <c r="O82" s="9">
        <f t="shared" si="57"/>
        <v>24371.327723833336</v>
      </c>
      <c r="P82" s="8">
        <f t="shared" ref="P82:AA82" si="63">SUM(P83:P85)</f>
        <v>6448.125</v>
      </c>
      <c r="Q82" s="8">
        <f t="shared" si="63"/>
        <v>6448.125</v>
      </c>
      <c r="R82" s="8">
        <f t="shared" si="63"/>
        <v>6529.8457531000004</v>
      </c>
      <c r="S82" s="8">
        <f t="shared" si="63"/>
        <v>6448.125</v>
      </c>
      <c r="T82" s="8">
        <f t="shared" si="63"/>
        <v>6448.125</v>
      </c>
      <c r="U82" s="8">
        <f t="shared" si="63"/>
        <v>6529.8457531000004</v>
      </c>
      <c r="V82" s="8">
        <f t="shared" si="63"/>
        <v>6448.125</v>
      </c>
      <c r="W82" s="8">
        <f t="shared" si="63"/>
        <v>6448.125</v>
      </c>
      <c r="X82" s="8">
        <f t="shared" si="63"/>
        <v>6529.8457531000004</v>
      </c>
      <c r="Y82" s="8">
        <f t="shared" si="63"/>
        <v>6448.125</v>
      </c>
      <c r="Z82" s="8">
        <f t="shared" si="63"/>
        <v>6448.125</v>
      </c>
      <c r="AA82" s="8">
        <f t="shared" si="63"/>
        <v>6529.8457531000004</v>
      </c>
      <c r="AB82" s="9">
        <f t="shared" si="59"/>
        <v>77704.383012400009</v>
      </c>
    </row>
    <row r="83" spans="1:28" ht="15" outlineLevel="1" x14ac:dyDescent="0.2">
      <c r="A83" s="2">
        <v>1</v>
      </c>
      <c r="B83" s="14" t="s">
        <v>21</v>
      </c>
      <c r="C83" s="15">
        <f t="shared" ref="C83:N83" si="64">SUM(C39,C51,C57,C64,C68,C77)*5%</f>
        <v>227.93229166666666</v>
      </c>
      <c r="D83" s="15">
        <f t="shared" si="64"/>
        <v>2157.7083333333335</v>
      </c>
      <c r="E83" s="15">
        <f t="shared" si="64"/>
        <v>2259.8592747083335</v>
      </c>
      <c r="F83" s="15">
        <f t="shared" si="64"/>
        <v>2157.7083333333335</v>
      </c>
      <c r="G83" s="15">
        <f t="shared" si="64"/>
        <v>2157.7083333333335</v>
      </c>
      <c r="H83" s="15">
        <f t="shared" si="64"/>
        <v>2259.8592747083335</v>
      </c>
      <c r="I83" s="15">
        <f t="shared" si="64"/>
        <v>2157.7083333333335</v>
      </c>
      <c r="J83" s="15">
        <f t="shared" si="64"/>
        <v>2157.7083333333335</v>
      </c>
      <c r="K83" s="15">
        <f t="shared" si="64"/>
        <v>2259.8592747083335</v>
      </c>
      <c r="L83" s="15">
        <f t="shared" si="64"/>
        <v>2157.7083333333335</v>
      </c>
      <c r="M83" s="15">
        <f t="shared" si="64"/>
        <v>2157.7083333333335</v>
      </c>
      <c r="N83" s="15">
        <f t="shared" si="64"/>
        <v>2259.8592747083335</v>
      </c>
      <c r="O83" s="9">
        <f t="shared" si="57"/>
        <v>24371.327723833336</v>
      </c>
      <c r="P83" s="15">
        <f t="shared" ref="P83:AA83" si="65">SUM(P39,P51,P57,P64,P68,P77)*5%</f>
        <v>6448.125</v>
      </c>
      <c r="Q83" s="15">
        <f t="shared" si="65"/>
        <v>6448.125</v>
      </c>
      <c r="R83" s="15">
        <f t="shared" si="65"/>
        <v>6529.8457531000004</v>
      </c>
      <c r="S83" s="15">
        <f t="shared" si="65"/>
        <v>6448.125</v>
      </c>
      <c r="T83" s="15">
        <f t="shared" si="65"/>
        <v>6448.125</v>
      </c>
      <c r="U83" s="15">
        <f t="shared" si="65"/>
        <v>6529.8457531000004</v>
      </c>
      <c r="V83" s="15">
        <f t="shared" si="65"/>
        <v>6448.125</v>
      </c>
      <c r="W83" s="15">
        <f t="shared" si="65"/>
        <v>6448.125</v>
      </c>
      <c r="X83" s="15">
        <f t="shared" si="65"/>
        <v>6529.8457531000004</v>
      </c>
      <c r="Y83" s="15">
        <f t="shared" si="65"/>
        <v>6448.125</v>
      </c>
      <c r="Z83" s="15">
        <f t="shared" si="65"/>
        <v>6448.125</v>
      </c>
      <c r="AA83" s="15">
        <f t="shared" si="65"/>
        <v>6529.8457531000004</v>
      </c>
      <c r="AB83" s="9">
        <f t="shared" si="59"/>
        <v>77704.383012400009</v>
      </c>
    </row>
    <row r="84" spans="1:28" outlineLevel="1" x14ac:dyDescent="0.2">
      <c r="A84" s="2">
        <v>2</v>
      </c>
      <c r="B84" s="14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9">
        <f t="shared" si="57"/>
        <v>0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9">
        <f t="shared" si="59"/>
        <v>0</v>
      </c>
    </row>
    <row r="85" spans="1:28" outlineLevel="1" x14ac:dyDescent="0.2">
      <c r="A85" s="2">
        <v>16</v>
      </c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9">
        <f t="shared" ref="O85:O86" si="66">SUM(C85:N85)</f>
        <v>0</v>
      </c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9">
        <f t="shared" ref="AB85:AB86" si="67">SUM(P85:AA85)</f>
        <v>0</v>
      </c>
    </row>
    <row r="86" spans="1:28" ht="15" x14ac:dyDescent="0.2">
      <c r="B86" s="17" t="s">
        <v>12</v>
      </c>
      <c r="C86" s="18">
        <f t="shared" ref="C86:N86" si="68">SUM(C39,C51,C57,C64,C68,C77,C82)</f>
        <v>4786.578125</v>
      </c>
      <c r="D86" s="18">
        <f t="shared" si="68"/>
        <v>45311.875</v>
      </c>
      <c r="E86" s="18">
        <f t="shared" si="68"/>
        <v>47457.044768874999</v>
      </c>
      <c r="F86" s="18">
        <f t="shared" si="68"/>
        <v>45311.875</v>
      </c>
      <c r="G86" s="18">
        <f t="shared" si="68"/>
        <v>45311.875</v>
      </c>
      <c r="H86" s="18">
        <f t="shared" si="68"/>
        <v>47457.044768874999</v>
      </c>
      <c r="I86" s="18">
        <f t="shared" si="68"/>
        <v>45311.875</v>
      </c>
      <c r="J86" s="18">
        <f t="shared" si="68"/>
        <v>45311.875</v>
      </c>
      <c r="K86" s="18">
        <f t="shared" si="68"/>
        <v>47457.044768874999</v>
      </c>
      <c r="L86" s="18">
        <f t="shared" si="68"/>
        <v>45311.875</v>
      </c>
      <c r="M86" s="18">
        <f t="shared" si="68"/>
        <v>45311.875</v>
      </c>
      <c r="N86" s="18">
        <f t="shared" si="68"/>
        <v>47457.044768874999</v>
      </c>
      <c r="O86" s="9">
        <f t="shared" si="66"/>
        <v>511797.8822005</v>
      </c>
      <c r="P86" s="18">
        <f t="shared" ref="P86:AA86" si="69">SUM(P39,P51,P57,P64,P68,P77,P82)</f>
        <v>135410.625</v>
      </c>
      <c r="Q86" s="18">
        <f t="shared" si="69"/>
        <v>135410.625</v>
      </c>
      <c r="R86" s="18">
        <f t="shared" si="69"/>
        <v>137126.76081509999</v>
      </c>
      <c r="S86" s="18">
        <f t="shared" si="69"/>
        <v>135410.625</v>
      </c>
      <c r="T86" s="18">
        <f t="shared" si="69"/>
        <v>135410.625</v>
      </c>
      <c r="U86" s="18">
        <f t="shared" si="69"/>
        <v>137126.76081509999</v>
      </c>
      <c r="V86" s="18">
        <f t="shared" si="69"/>
        <v>135410.625</v>
      </c>
      <c r="W86" s="18">
        <f t="shared" si="69"/>
        <v>135410.625</v>
      </c>
      <c r="X86" s="18">
        <f t="shared" si="69"/>
        <v>137126.76081509999</v>
      </c>
      <c r="Y86" s="18">
        <f t="shared" si="69"/>
        <v>135410.625</v>
      </c>
      <c r="Z86" s="18">
        <f t="shared" si="69"/>
        <v>135410.625</v>
      </c>
      <c r="AA86" s="18">
        <f t="shared" si="69"/>
        <v>137126.76081509999</v>
      </c>
      <c r="AB86" s="9">
        <f t="shared" si="67"/>
        <v>1631792.0432604002</v>
      </c>
    </row>
    <row r="88" spans="1:28" ht="15" thickBot="1" x14ac:dyDescent="0.25"/>
    <row r="89" spans="1:28" s="78" customFormat="1" ht="31" thickBot="1" x14ac:dyDescent="0.25">
      <c r="A89" s="75"/>
      <c r="B89" s="85" t="s">
        <v>13</v>
      </c>
      <c r="C89" s="86">
        <f t="shared" ref="C89:N89" si="70">C86+C35</f>
        <v>181396.31888000001</v>
      </c>
      <c r="D89" s="86">
        <f t="shared" si="70"/>
        <v>816680.49179500004</v>
      </c>
      <c r="E89" s="86">
        <f t="shared" si="70"/>
        <v>47457.044768874999</v>
      </c>
      <c r="F89" s="86">
        <f t="shared" si="70"/>
        <v>45311.875</v>
      </c>
      <c r="G89" s="86">
        <f t="shared" si="70"/>
        <v>45311.875</v>
      </c>
      <c r="H89" s="86">
        <f t="shared" si="70"/>
        <v>47457.044768874999</v>
      </c>
      <c r="I89" s="86">
        <f t="shared" si="70"/>
        <v>45311.875</v>
      </c>
      <c r="J89" s="86">
        <f t="shared" si="70"/>
        <v>45311.875</v>
      </c>
      <c r="K89" s="86">
        <f t="shared" si="70"/>
        <v>47457.044768874999</v>
      </c>
      <c r="L89" s="86">
        <f t="shared" si="70"/>
        <v>45311.875</v>
      </c>
      <c r="M89" s="86">
        <f t="shared" si="70"/>
        <v>45311.875</v>
      </c>
      <c r="N89" s="86">
        <f t="shared" si="70"/>
        <v>47457.044768874999</v>
      </c>
      <c r="O89" s="87">
        <f>SUM(C89:N89)</f>
        <v>1459776.2397505001</v>
      </c>
      <c r="P89" s="86">
        <f t="shared" ref="P89:AA89" si="71">P86+P35</f>
        <v>1869396.4401</v>
      </c>
      <c r="Q89" s="86">
        <f t="shared" si="71"/>
        <v>135410.625</v>
      </c>
      <c r="R89" s="86">
        <f t="shared" si="71"/>
        <v>137126.76081509999</v>
      </c>
      <c r="S89" s="86">
        <f t="shared" si="71"/>
        <v>135410.625</v>
      </c>
      <c r="T89" s="86">
        <f t="shared" si="71"/>
        <v>135410.625</v>
      </c>
      <c r="U89" s="86">
        <f t="shared" si="71"/>
        <v>137126.76081509999</v>
      </c>
      <c r="V89" s="86">
        <f t="shared" si="71"/>
        <v>135410.625</v>
      </c>
      <c r="W89" s="86">
        <f t="shared" si="71"/>
        <v>135410.625</v>
      </c>
      <c r="X89" s="86">
        <f t="shared" si="71"/>
        <v>137126.76081509999</v>
      </c>
      <c r="Y89" s="86">
        <f t="shared" si="71"/>
        <v>135410.625</v>
      </c>
      <c r="Z89" s="86">
        <f t="shared" si="71"/>
        <v>135410.625</v>
      </c>
      <c r="AA89" s="86">
        <f t="shared" si="71"/>
        <v>137126.76081509999</v>
      </c>
      <c r="AB89" s="87">
        <f>SUM(P89:AA89)</f>
        <v>3365777.8583603995</v>
      </c>
    </row>
    <row r="91" spans="1:28" ht="15" x14ac:dyDescent="0.2">
      <c r="B91" s="72" t="s">
        <v>84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1:28" ht="15" x14ac:dyDescent="0.2">
      <c r="B92" s="12" t="s">
        <v>85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1:28" s="46" customFormat="1" ht="15" x14ac:dyDescent="0.2">
      <c r="A93" s="44"/>
      <c r="B93" s="12" t="s">
        <v>86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</row>
    <row r="94" spans="1:28" s="46" customFormat="1" ht="15" x14ac:dyDescent="0.2">
      <c r="A94" s="44"/>
      <c r="B94" s="12" t="s">
        <v>87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</row>
    <row r="95" spans="1:28" s="46" customFormat="1" ht="15" x14ac:dyDescent="0.2">
      <c r="A95" s="44"/>
      <c r="B95" s="12" t="s">
        <v>88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</row>
    <row r="96" spans="1:28" s="46" customFormat="1" ht="30" x14ac:dyDescent="0.2">
      <c r="A96" s="44"/>
      <c r="B96" s="12" t="s">
        <v>89</v>
      </c>
      <c r="C96" s="73">
        <f>(C41+C42)*1.25</f>
        <v>1381.25</v>
      </c>
      <c r="D96" s="73">
        <f t="shared" ref="D96:AA96" si="72">(D41+D42)*1.25</f>
        <v>9750</v>
      </c>
      <c r="E96" s="73">
        <f t="shared" si="72"/>
        <v>9750</v>
      </c>
      <c r="F96" s="73">
        <f t="shared" si="72"/>
        <v>9750</v>
      </c>
      <c r="G96" s="73">
        <f t="shared" si="72"/>
        <v>9750</v>
      </c>
      <c r="H96" s="73">
        <f t="shared" si="72"/>
        <v>9750</v>
      </c>
      <c r="I96" s="73">
        <f t="shared" si="72"/>
        <v>9750</v>
      </c>
      <c r="J96" s="73">
        <f t="shared" si="72"/>
        <v>9750</v>
      </c>
      <c r="K96" s="73">
        <f t="shared" si="72"/>
        <v>9750</v>
      </c>
      <c r="L96" s="73">
        <f t="shared" si="72"/>
        <v>9750</v>
      </c>
      <c r="M96" s="73">
        <f t="shared" si="72"/>
        <v>9750</v>
      </c>
      <c r="N96" s="73">
        <f t="shared" si="72"/>
        <v>9750</v>
      </c>
      <c r="O96" s="74">
        <f>SUM(C96:N96)</f>
        <v>108631.25</v>
      </c>
      <c r="P96" s="73">
        <f t="shared" si="72"/>
        <v>29250</v>
      </c>
      <c r="Q96" s="73">
        <f t="shared" si="72"/>
        <v>29250</v>
      </c>
      <c r="R96" s="73">
        <f t="shared" si="72"/>
        <v>29250</v>
      </c>
      <c r="S96" s="73">
        <f t="shared" si="72"/>
        <v>29250</v>
      </c>
      <c r="T96" s="73">
        <f t="shared" si="72"/>
        <v>29250</v>
      </c>
      <c r="U96" s="73">
        <f t="shared" si="72"/>
        <v>29250</v>
      </c>
      <c r="V96" s="73">
        <f t="shared" si="72"/>
        <v>29250</v>
      </c>
      <c r="W96" s="73">
        <f t="shared" si="72"/>
        <v>29250</v>
      </c>
      <c r="X96" s="73">
        <f t="shared" si="72"/>
        <v>29250</v>
      </c>
      <c r="Y96" s="73">
        <f t="shared" si="72"/>
        <v>29250</v>
      </c>
      <c r="Z96" s="73">
        <f t="shared" si="72"/>
        <v>29250</v>
      </c>
      <c r="AA96" s="73">
        <f t="shared" si="72"/>
        <v>29250</v>
      </c>
      <c r="AB96" s="46">
        <f>SUM(P96:AA96)</f>
        <v>351000</v>
      </c>
    </row>
    <row r="97" spans="1:28" s="78" customFormat="1" ht="15" x14ac:dyDescent="0.2">
      <c r="A97" s="75"/>
      <c r="B97" s="76" t="s">
        <v>91</v>
      </c>
      <c r="C97" s="82">
        <f>((704000000/1200)/12)*30%</f>
        <v>14666.666666666664</v>
      </c>
      <c r="D97" s="83">
        <f>$C$97*5</f>
        <v>73333.333333333314</v>
      </c>
      <c r="E97" s="83">
        <f t="shared" ref="E97:N97" si="73">$C$97*5</f>
        <v>73333.333333333314</v>
      </c>
      <c r="F97" s="83">
        <f t="shared" si="73"/>
        <v>73333.333333333314</v>
      </c>
      <c r="G97" s="83">
        <f t="shared" si="73"/>
        <v>73333.333333333314</v>
      </c>
      <c r="H97" s="83">
        <f t="shared" si="73"/>
        <v>73333.333333333314</v>
      </c>
      <c r="I97" s="83">
        <f t="shared" si="73"/>
        <v>73333.333333333314</v>
      </c>
      <c r="J97" s="83">
        <f t="shared" si="73"/>
        <v>73333.333333333314</v>
      </c>
      <c r="K97" s="83">
        <f t="shared" si="73"/>
        <v>73333.333333333314</v>
      </c>
      <c r="L97" s="83">
        <f t="shared" si="73"/>
        <v>73333.333333333314</v>
      </c>
      <c r="M97" s="83">
        <f t="shared" si="73"/>
        <v>73333.333333333314</v>
      </c>
      <c r="N97" s="83">
        <f t="shared" si="73"/>
        <v>73333.333333333314</v>
      </c>
      <c r="O97" s="81">
        <f>SUM(C97:N97)</f>
        <v>821333.33333333279</v>
      </c>
      <c r="P97" s="83">
        <f>$C$97*15</f>
        <v>219999.99999999997</v>
      </c>
      <c r="Q97" s="83">
        <f t="shared" ref="Q97:AA97" si="74">$C$97*15</f>
        <v>219999.99999999997</v>
      </c>
      <c r="R97" s="83">
        <f t="shared" si="74"/>
        <v>219999.99999999997</v>
      </c>
      <c r="S97" s="83">
        <f t="shared" si="74"/>
        <v>219999.99999999997</v>
      </c>
      <c r="T97" s="83">
        <f t="shared" si="74"/>
        <v>219999.99999999997</v>
      </c>
      <c r="U97" s="83">
        <f t="shared" si="74"/>
        <v>219999.99999999997</v>
      </c>
      <c r="V97" s="83">
        <f t="shared" si="74"/>
        <v>219999.99999999997</v>
      </c>
      <c r="W97" s="83">
        <f t="shared" si="74"/>
        <v>219999.99999999997</v>
      </c>
      <c r="X97" s="83">
        <f t="shared" si="74"/>
        <v>219999.99999999997</v>
      </c>
      <c r="Y97" s="83">
        <f t="shared" si="74"/>
        <v>219999.99999999997</v>
      </c>
      <c r="Z97" s="83">
        <f t="shared" si="74"/>
        <v>219999.99999999997</v>
      </c>
      <c r="AA97" s="83">
        <f t="shared" si="74"/>
        <v>219999.99999999997</v>
      </c>
      <c r="AB97" s="84">
        <f>SUM(P97:AA97)</f>
        <v>2639999.9999999995</v>
      </c>
    </row>
    <row r="98" spans="1:28" x14ac:dyDescent="0.2">
      <c r="B98" s="12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spans="1:28" x14ac:dyDescent="0.2">
      <c r="B99" s="12"/>
      <c r="C99" s="48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P99" s="48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 spans="1:28" x14ac:dyDescent="0.2">
      <c r="B100" s="12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8" s="81" customFormat="1" ht="16" x14ac:dyDescent="0.2">
      <c r="A101" s="79"/>
      <c r="B101" s="80" t="s">
        <v>90</v>
      </c>
      <c r="C101" s="77">
        <f>SUM(C92:C100)</f>
        <v>16047.916666666664</v>
      </c>
      <c r="D101" s="77">
        <f t="shared" ref="D101:AA101" si="75">SUM(D92:D100)</f>
        <v>83083.333333333314</v>
      </c>
      <c r="E101" s="77">
        <f t="shared" si="75"/>
        <v>83083.333333333314</v>
      </c>
      <c r="F101" s="77">
        <f t="shared" si="75"/>
        <v>83083.333333333314</v>
      </c>
      <c r="G101" s="77">
        <f t="shared" si="75"/>
        <v>83083.333333333314</v>
      </c>
      <c r="H101" s="77">
        <f t="shared" si="75"/>
        <v>83083.333333333314</v>
      </c>
      <c r="I101" s="77">
        <f t="shared" si="75"/>
        <v>83083.333333333314</v>
      </c>
      <c r="J101" s="77">
        <f t="shared" si="75"/>
        <v>83083.333333333314</v>
      </c>
      <c r="K101" s="77">
        <f t="shared" si="75"/>
        <v>83083.333333333314</v>
      </c>
      <c r="L101" s="77">
        <f t="shared" si="75"/>
        <v>83083.333333333314</v>
      </c>
      <c r="M101" s="77">
        <f t="shared" si="75"/>
        <v>83083.333333333314</v>
      </c>
      <c r="N101" s="77">
        <f t="shared" si="75"/>
        <v>83083.333333333314</v>
      </c>
      <c r="O101" s="77">
        <f t="shared" si="75"/>
        <v>929964.58333333279</v>
      </c>
      <c r="P101" s="77">
        <f t="shared" si="75"/>
        <v>249249.99999999997</v>
      </c>
      <c r="Q101" s="77">
        <f t="shared" si="75"/>
        <v>249249.99999999997</v>
      </c>
      <c r="R101" s="77">
        <f t="shared" si="75"/>
        <v>249249.99999999997</v>
      </c>
      <c r="S101" s="77">
        <f t="shared" si="75"/>
        <v>249249.99999999997</v>
      </c>
      <c r="T101" s="77">
        <f t="shared" si="75"/>
        <v>249249.99999999997</v>
      </c>
      <c r="U101" s="77">
        <f t="shared" si="75"/>
        <v>249249.99999999997</v>
      </c>
      <c r="V101" s="77">
        <f t="shared" si="75"/>
        <v>249249.99999999997</v>
      </c>
      <c r="W101" s="77">
        <f t="shared" si="75"/>
        <v>249249.99999999997</v>
      </c>
      <c r="X101" s="77">
        <f t="shared" si="75"/>
        <v>249249.99999999997</v>
      </c>
      <c r="Y101" s="77">
        <f t="shared" si="75"/>
        <v>249249.99999999997</v>
      </c>
      <c r="Z101" s="77">
        <f t="shared" si="75"/>
        <v>249249.99999999997</v>
      </c>
      <c r="AA101" s="77">
        <f t="shared" si="75"/>
        <v>249249.99999999997</v>
      </c>
      <c r="AB101" s="81">
        <f>SUM(P101:AA101)</f>
        <v>2990999.9999999995</v>
      </c>
    </row>
    <row r="102" spans="1:28" x14ac:dyDescent="0.2">
      <c r="B102" s="12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8" x14ac:dyDescent="0.2">
      <c r="B103" s="12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8" x14ac:dyDescent="0.2">
      <c r="B104" s="12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8" x14ac:dyDescent="0.2">
      <c r="B105" s="1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pans="1:28" x14ac:dyDescent="0.2">
      <c r="B106" s="12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</row>
    <row r="107" spans="1:28" x14ac:dyDescent="0.2">
      <c r="B107" s="1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</row>
    <row r="108" spans="1:28" x14ac:dyDescent="0.2">
      <c r="B108" s="12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1:28" ht="30" customHeight="1" x14ac:dyDescent="0.2">
      <c r="B109" s="12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1" spans="1:28" x14ac:dyDescent="0.2">
      <c r="C111" s="51"/>
    </row>
  </sheetData>
  <pageMargins left="3.937007874015748E-2" right="3.937007874015748E-2" top="0.74803149606299213" bottom="0.15748031496062992" header="0" footer="0"/>
  <pageSetup paperSize="9" scale="86" fitToHeight="0" orientation="landscape" r:id="rId1"/>
  <ignoredErrors>
    <ignoredError sqref="D39" formulaRange="1"/>
    <ignoredError sqref="O27:O47 O49:O89 O2:O4 O19:O25 D8 O5:O6 O7 O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8"/>
  <sheetViews>
    <sheetView topLeftCell="A4" zoomScale="125" zoomScaleNormal="140" zoomScalePageLayoutView="140" workbookViewId="0">
      <selection activeCell="H13" sqref="H13"/>
    </sheetView>
  </sheetViews>
  <sheetFormatPr baseColWidth="10" defaultColWidth="9" defaultRowHeight="15" x14ac:dyDescent="0.2"/>
  <cols>
    <col min="1" max="1" width="17.33203125" style="24" bestFit="1" customWidth="1"/>
    <col min="2" max="2" width="11.1640625" style="24" bestFit="1" customWidth="1"/>
    <col min="3" max="3" width="13" style="24" bestFit="1" customWidth="1"/>
    <col min="4" max="4" width="10.83203125" style="24" bestFit="1" customWidth="1"/>
    <col min="5" max="5" width="13" style="24" bestFit="1" customWidth="1"/>
    <col min="6" max="7" width="10.83203125" style="24" bestFit="1" customWidth="1"/>
    <col min="8" max="9" width="12.5" style="24" bestFit="1" customWidth="1"/>
    <col min="10" max="11" width="13.1640625" style="24" bestFit="1" customWidth="1"/>
    <col min="12" max="13" width="12.5" style="24" bestFit="1" customWidth="1"/>
    <col min="14" max="16384" width="9" style="24"/>
  </cols>
  <sheetData>
    <row r="1" spans="1:26" ht="16" x14ac:dyDescent="0.2">
      <c r="A1" s="23"/>
      <c r="B1" s="1" t="str">
        <f>'1'!C1</f>
        <v>I</v>
      </c>
      <c r="C1" s="1" t="str">
        <f>'1'!D1</f>
        <v>II</v>
      </c>
      <c r="D1" s="1" t="str">
        <f>'1'!E1</f>
        <v>III</v>
      </c>
      <c r="E1" s="1" t="str">
        <f>'1'!F1</f>
        <v>IV</v>
      </c>
      <c r="F1" s="1" t="str">
        <f>'1'!G1</f>
        <v>V</v>
      </c>
      <c r="G1" s="1" t="str">
        <f>'1'!H1</f>
        <v>VI</v>
      </c>
      <c r="H1" s="1" t="str">
        <f>'1'!I1</f>
        <v>VII</v>
      </c>
      <c r="I1" s="1" t="str">
        <f>'1'!J1</f>
        <v>VIII</v>
      </c>
      <c r="J1" s="1" t="str">
        <f>'1'!K1</f>
        <v>IX</v>
      </c>
      <c r="K1" s="1" t="str">
        <f>'1'!L1</f>
        <v>X</v>
      </c>
      <c r="L1" s="1" t="str">
        <f>'1'!M1</f>
        <v>XI</v>
      </c>
      <c r="M1" s="1" t="str">
        <f>'1'!N1</f>
        <v>XII</v>
      </c>
      <c r="O1" s="4" t="s">
        <v>34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39</v>
      </c>
      <c r="U1" s="4" t="s">
        <v>40</v>
      </c>
      <c r="V1" s="4" t="s">
        <v>41</v>
      </c>
      <c r="W1" s="4" t="s">
        <v>42</v>
      </c>
      <c r="X1" s="4" t="s">
        <v>43</v>
      </c>
      <c r="Y1" s="4" t="s">
        <v>44</v>
      </c>
      <c r="Z1" s="4" t="s">
        <v>45</v>
      </c>
    </row>
    <row r="2" spans="1:26" ht="16" x14ac:dyDescent="0.2">
      <c r="A2" s="23" t="s">
        <v>15</v>
      </c>
      <c r="B2" s="25">
        <f>'1'!C86+'1'!C109</f>
        <v>4786.578125</v>
      </c>
      <c r="C2" s="25">
        <f>'1'!D86+'1'!D109</f>
        <v>45311.875</v>
      </c>
      <c r="D2" s="25">
        <f>'1'!E86+'1'!E109</f>
        <v>47457.044768874999</v>
      </c>
      <c r="E2" s="25">
        <f>'1'!F86+'1'!F109</f>
        <v>45311.875</v>
      </c>
      <c r="F2" s="25">
        <f>'1'!G86+'1'!G109</f>
        <v>45311.875</v>
      </c>
      <c r="G2" s="25">
        <f>'1'!H86+'1'!H109</f>
        <v>47457.044768874999</v>
      </c>
      <c r="H2" s="25">
        <f>'1'!I86+'1'!I109</f>
        <v>45311.875</v>
      </c>
      <c r="I2" s="25">
        <f>'1'!J86+'1'!J109</f>
        <v>45311.875</v>
      </c>
      <c r="J2" s="25">
        <f>'1'!K86+'1'!K109</f>
        <v>47457.044768874999</v>
      </c>
      <c r="K2" s="25">
        <f>'1'!L86+'1'!L109</f>
        <v>45311.875</v>
      </c>
      <c r="L2" s="25">
        <f>'1'!M86+'1'!M109</f>
        <v>45311.875</v>
      </c>
      <c r="M2" s="25">
        <f>'1'!N86+'1'!N109</f>
        <v>47457.044768874999</v>
      </c>
      <c r="N2" s="24">
        <f>SUM(B2:M2)</f>
        <v>511797.8822005</v>
      </c>
      <c r="O2" s="25">
        <f>'1'!P86+'1'!P109</f>
        <v>135410.625</v>
      </c>
      <c r="P2" s="25">
        <f>'1'!Q86+'1'!Q109</f>
        <v>135410.625</v>
      </c>
      <c r="Q2" s="25">
        <f>'1'!R86+'1'!R109</f>
        <v>137126.76081509999</v>
      </c>
      <c r="R2" s="25">
        <f>'1'!S86+'1'!S109</f>
        <v>135410.625</v>
      </c>
      <c r="S2" s="25">
        <f>'1'!T86+'1'!T109</f>
        <v>135410.625</v>
      </c>
      <c r="T2" s="25">
        <f>'1'!U86+'1'!U109</f>
        <v>137126.76081509999</v>
      </c>
      <c r="U2" s="25">
        <f>'1'!V86+'1'!V109</f>
        <v>135410.625</v>
      </c>
      <c r="V2" s="25">
        <f>'1'!W86+'1'!W109</f>
        <v>135410.625</v>
      </c>
      <c r="W2" s="25">
        <f>'1'!X86+'1'!X109</f>
        <v>137126.76081509999</v>
      </c>
      <c r="X2" s="25">
        <f>'1'!Y86+'1'!Y109</f>
        <v>135410.625</v>
      </c>
      <c r="Y2" s="25">
        <f>'1'!Z86+'1'!Z109</f>
        <v>135410.625</v>
      </c>
      <c r="Z2" s="25">
        <f>'1'!AA86+'1'!AA109</f>
        <v>137126.76081509999</v>
      </c>
    </row>
    <row r="3" spans="1:26" ht="16" x14ac:dyDescent="0.2">
      <c r="A3" s="23" t="s">
        <v>16</v>
      </c>
      <c r="B3" s="33">
        <f>'1'!C101</f>
        <v>16047.916666666664</v>
      </c>
      <c r="C3" s="33">
        <f>'1'!D101</f>
        <v>83083.333333333314</v>
      </c>
      <c r="D3" s="33">
        <f>'1'!E101</f>
        <v>83083.333333333314</v>
      </c>
      <c r="E3" s="57">
        <f>'1'!F101</f>
        <v>83083.333333333314</v>
      </c>
      <c r="F3" s="57">
        <f>'1'!G101</f>
        <v>83083.333333333314</v>
      </c>
      <c r="G3" s="57">
        <f>'1'!H101</f>
        <v>83083.333333333314</v>
      </c>
      <c r="H3" s="57">
        <f>'1'!I101</f>
        <v>83083.333333333314</v>
      </c>
      <c r="I3" s="57">
        <f>'1'!J101</f>
        <v>83083.333333333314</v>
      </c>
      <c r="J3" s="57">
        <f>'1'!K101</f>
        <v>83083.333333333314</v>
      </c>
      <c r="K3" s="57">
        <f>'1'!L101</f>
        <v>83083.333333333314</v>
      </c>
      <c r="L3" s="57">
        <f>'1'!M101</f>
        <v>83083.333333333314</v>
      </c>
      <c r="M3" s="57">
        <f>'1'!N101</f>
        <v>83083.333333333314</v>
      </c>
      <c r="N3" s="24">
        <f>SUM(B3:M3)</f>
        <v>929964.58333333302</v>
      </c>
      <c r="O3" s="57">
        <f>'1'!P101</f>
        <v>249249.99999999997</v>
      </c>
      <c r="P3" s="57">
        <f>'1'!Q101</f>
        <v>249249.99999999997</v>
      </c>
      <c r="Q3" s="57">
        <f>'1'!R101</f>
        <v>249249.99999999997</v>
      </c>
      <c r="R3" s="57">
        <f>'1'!S101</f>
        <v>249249.99999999997</v>
      </c>
      <c r="S3" s="57">
        <f>'1'!T101</f>
        <v>249249.99999999997</v>
      </c>
      <c r="T3" s="57">
        <f>'1'!U101</f>
        <v>249249.99999999997</v>
      </c>
      <c r="U3" s="57">
        <f>'1'!V101</f>
        <v>249249.99999999997</v>
      </c>
      <c r="V3" s="57">
        <f>'1'!W101</f>
        <v>249249.99999999997</v>
      </c>
      <c r="W3" s="57">
        <f>'1'!X101</f>
        <v>249249.99999999997</v>
      </c>
      <c r="X3" s="57">
        <f>'1'!Y101</f>
        <v>249249.99999999997</v>
      </c>
      <c r="Y3" s="57">
        <f>'1'!Z101</f>
        <v>249249.99999999997</v>
      </c>
      <c r="Z3" s="57">
        <f>'1'!AA101</f>
        <v>249249.99999999997</v>
      </c>
    </row>
    <row r="4" spans="1:26" s="34" customFormat="1" ht="16" x14ac:dyDescent="0.2">
      <c r="A4" s="34" t="s">
        <v>50</v>
      </c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6" ht="16" x14ac:dyDescent="0.2">
      <c r="A5" s="26" t="s">
        <v>19</v>
      </c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22">
        <v>6</v>
      </c>
      <c r="H5" s="22">
        <v>7</v>
      </c>
      <c r="I5" s="22">
        <v>8</v>
      </c>
      <c r="J5" s="22">
        <v>9</v>
      </c>
      <c r="K5" s="22">
        <v>10</v>
      </c>
      <c r="L5" s="22">
        <v>11</v>
      </c>
      <c r="M5" s="22">
        <v>12</v>
      </c>
      <c r="O5" s="59">
        <v>13</v>
      </c>
      <c r="P5" s="59">
        <v>14</v>
      </c>
      <c r="Q5" s="59">
        <v>15</v>
      </c>
      <c r="R5" s="59">
        <v>16</v>
      </c>
      <c r="S5" s="59">
        <v>17</v>
      </c>
      <c r="T5" s="59">
        <v>18</v>
      </c>
      <c r="U5" s="59">
        <v>19</v>
      </c>
      <c r="V5" s="59">
        <v>20</v>
      </c>
      <c r="W5" s="59">
        <v>21</v>
      </c>
      <c r="X5" s="59">
        <v>22</v>
      </c>
      <c r="Y5" s="59">
        <v>23</v>
      </c>
      <c r="Z5" s="59">
        <v>24</v>
      </c>
    </row>
    <row r="6" spans="1:26" ht="16" x14ac:dyDescent="0.2">
      <c r="A6" s="23" t="s">
        <v>17</v>
      </c>
      <c r="B6" s="25">
        <f>B2</f>
        <v>4786.578125</v>
      </c>
      <c r="C6" s="25">
        <f t="shared" ref="C6:G7" si="0">B6+C2</f>
        <v>50098.453125</v>
      </c>
      <c r="D6" s="25">
        <f t="shared" si="0"/>
        <v>97555.497893874999</v>
      </c>
      <c r="E6" s="25">
        <f t="shared" si="0"/>
        <v>142867.372893875</v>
      </c>
      <c r="F6" s="25">
        <f t="shared" si="0"/>
        <v>188179.247893875</v>
      </c>
      <c r="G6" s="25">
        <f t="shared" si="0"/>
        <v>235636.29266275</v>
      </c>
      <c r="H6" s="25">
        <f t="shared" ref="H6:M6" si="1">G6+H2</f>
        <v>280948.16766275</v>
      </c>
      <c r="I6" s="25">
        <f t="shared" si="1"/>
        <v>326260.04266275</v>
      </c>
      <c r="J6" s="25">
        <f t="shared" si="1"/>
        <v>373717.087431625</v>
      </c>
      <c r="K6" s="25">
        <f t="shared" si="1"/>
        <v>419028.962431625</v>
      </c>
      <c r="L6" s="25">
        <f t="shared" si="1"/>
        <v>464340.837431625</v>
      </c>
      <c r="M6" s="25">
        <f t="shared" si="1"/>
        <v>511797.8822005</v>
      </c>
      <c r="O6" s="25">
        <f>M6+O2</f>
        <v>647208.5072005</v>
      </c>
      <c r="P6" s="25">
        <f>O6+P2</f>
        <v>782619.1322005</v>
      </c>
      <c r="Q6" s="25">
        <f t="shared" ref="Q6:Z6" si="2">P6+Q2</f>
        <v>919745.89301560004</v>
      </c>
      <c r="R6" s="25">
        <f t="shared" si="2"/>
        <v>1055156.5180156</v>
      </c>
      <c r="S6" s="25">
        <f t="shared" si="2"/>
        <v>1190567.1430156</v>
      </c>
      <c r="T6" s="25">
        <f t="shared" si="2"/>
        <v>1327693.9038307001</v>
      </c>
      <c r="U6" s="25">
        <f t="shared" si="2"/>
        <v>1463104.5288307001</v>
      </c>
      <c r="V6" s="25">
        <f t="shared" si="2"/>
        <v>1598515.1538307001</v>
      </c>
      <c r="W6" s="25">
        <f t="shared" si="2"/>
        <v>1735641.9146458001</v>
      </c>
      <c r="X6" s="25">
        <f t="shared" si="2"/>
        <v>1871052.5396458001</v>
      </c>
      <c r="Y6" s="25">
        <f t="shared" si="2"/>
        <v>2006463.1646458001</v>
      </c>
      <c r="Z6" s="25">
        <f t="shared" si="2"/>
        <v>2143589.9254609002</v>
      </c>
    </row>
    <row r="7" spans="1:26" ht="16" x14ac:dyDescent="0.2">
      <c r="A7" s="23" t="s">
        <v>18</v>
      </c>
      <c r="B7" s="25">
        <f>B3</f>
        <v>16047.916666666664</v>
      </c>
      <c r="C7" s="25">
        <f t="shared" si="0"/>
        <v>99131.249999999971</v>
      </c>
      <c r="D7" s="25">
        <f t="shared" si="0"/>
        <v>182214.58333333328</v>
      </c>
      <c r="E7" s="25">
        <f t="shared" si="0"/>
        <v>265297.91666666663</v>
      </c>
      <c r="F7" s="25">
        <f t="shared" si="0"/>
        <v>348381.24999999994</v>
      </c>
      <c r="G7" s="25">
        <f t="shared" si="0"/>
        <v>431464.58333333326</v>
      </c>
      <c r="H7" s="25">
        <f t="shared" ref="H7:M7" si="3">G7+H3</f>
        <v>514547.91666666657</v>
      </c>
      <c r="I7" s="25">
        <f t="shared" si="3"/>
        <v>597631.24999999988</v>
      </c>
      <c r="J7" s="25">
        <f t="shared" si="3"/>
        <v>680714.58333333326</v>
      </c>
      <c r="K7" s="25">
        <f t="shared" si="3"/>
        <v>763797.91666666651</v>
      </c>
      <c r="L7" s="25">
        <f t="shared" si="3"/>
        <v>846881.24999999977</v>
      </c>
      <c r="M7" s="25">
        <f t="shared" si="3"/>
        <v>929964.58333333302</v>
      </c>
      <c r="O7" s="25">
        <f>M7+O3</f>
        <v>1179214.583333333</v>
      </c>
      <c r="P7" s="25">
        <f>O7+P3</f>
        <v>1428464.583333333</v>
      </c>
      <c r="Q7" s="25">
        <f t="shared" ref="Q7:Z7" si="4">P7+Q3</f>
        <v>1677714.583333333</v>
      </c>
      <c r="R7" s="25">
        <f t="shared" si="4"/>
        <v>1926964.583333333</v>
      </c>
      <c r="S7" s="25">
        <f t="shared" si="4"/>
        <v>2176214.583333333</v>
      </c>
      <c r="T7" s="25">
        <f t="shared" si="4"/>
        <v>2425464.583333333</v>
      </c>
      <c r="U7" s="25">
        <f t="shared" si="4"/>
        <v>2674714.583333333</v>
      </c>
      <c r="V7" s="25">
        <f t="shared" si="4"/>
        <v>2923964.583333333</v>
      </c>
      <c r="W7" s="25">
        <f t="shared" si="4"/>
        <v>3173214.583333333</v>
      </c>
      <c r="X7" s="25">
        <f t="shared" si="4"/>
        <v>3422464.583333333</v>
      </c>
      <c r="Y7" s="25">
        <f t="shared" si="4"/>
        <v>3671714.583333333</v>
      </c>
      <c r="Z7" s="25">
        <f t="shared" si="4"/>
        <v>3920964.583333333</v>
      </c>
    </row>
    <row r="9" spans="1:26" x14ac:dyDescent="0.2">
      <c r="B9" s="37">
        <f>SUM(B7-B6)</f>
        <v>11261.338541666664</v>
      </c>
      <c r="C9" s="37">
        <f t="shared" ref="C9:M9" si="5">SUM(C7-C6)</f>
        <v>49032.796874999971</v>
      </c>
      <c r="D9" s="37">
        <f t="shared" si="5"/>
        <v>84659.085439458286</v>
      </c>
      <c r="E9" s="37">
        <f t="shared" si="5"/>
        <v>122430.54377279163</v>
      </c>
      <c r="F9" s="37">
        <f t="shared" si="5"/>
        <v>160202.00210612494</v>
      </c>
      <c r="G9" s="37">
        <f t="shared" si="5"/>
        <v>195828.29067058326</v>
      </c>
      <c r="H9" s="37">
        <f t="shared" si="5"/>
        <v>233599.74900391657</v>
      </c>
      <c r="I9" s="37">
        <f t="shared" si="5"/>
        <v>271371.20733724989</v>
      </c>
      <c r="J9" s="37">
        <f t="shared" si="5"/>
        <v>306997.49590170826</v>
      </c>
      <c r="K9" s="37">
        <f t="shared" si="5"/>
        <v>344768.95423504151</v>
      </c>
      <c r="L9" s="37">
        <f t="shared" si="5"/>
        <v>382540.41256837477</v>
      </c>
      <c r="M9" s="37">
        <f t="shared" si="5"/>
        <v>418166.70113283303</v>
      </c>
    </row>
    <row r="10" spans="1:26" x14ac:dyDescent="0.2">
      <c r="B10" s="37"/>
      <c r="C10" s="37"/>
      <c r="D10" s="37"/>
      <c r="E10" s="37"/>
      <c r="F10" s="37"/>
      <c r="G10" s="37"/>
      <c r="H10" s="37">
        <f>SUMIF(B9:M9,"&lt;0")</f>
        <v>0</v>
      </c>
      <c r="I10" s="37"/>
      <c r="J10" s="37"/>
      <c r="K10" s="37"/>
      <c r="L10" s="37"/>
      <c r="M10" s="37"/>
    </row>
    <row r="11" spans="1:26" x14ac:dyDescent="0.2">
      <c r="B11" s="37"/>
      <c r="C11" s="37"/>
      <c r="D11" s="37"/>
      <c r="E11" s="37">
        <f>SUMIF(B9:M9,"&lt;0")</f>
        <v>0</v>
      </c>
      <c r="F11" s="37"/>
      <c r="G11" s="37"/>
      <c r="H11" s="38">
        <f>'1'!O35-წაუგებლობა!H10</f>
        <v>947978.35755000007</v>
      </c>
      <c r="I11" s="37"/>
      <c r="J11" s="37"/>
      <c r="K11" s="37"/>
      <c r="L11" s="37"/>
      <c r="M11" s="37"/>
    </row>
    <row r="12" spans="1:26" x14ac:dyDescent="0.2">
      <c r="C12" s="32"/>
      <c r="D12" s="32"/>
      <c r="E12" s="32"/>
      <c r="F12" s="32"/>
      <c r="G12" s="32"/>
      <c r="H12" s="55">
        <f>H11/Лист1!C3</f>
        <v>352919.9797289751</v>
      </c>
      <c r="I12" s="32"/>
      <c r="J12" s="32"/>
      <c r="K12" s="32"/>
      <c r="L12" s="32"/>
      <c r="M12" s="32"/>
    </row>
    <row r="13" spans="1:26" ht="19" x14ac:dyDescent="0.25">
      <c r="H13" s="64">
        <f>H11/Лист1!C2</f>
        <v>311763.19845759199</v>
      </c>
      <c r="I13" s="56"/>
    </row>
    <row r="14" spans="1:26" ht="19" x14ac:dyDescent="0.25">
      <c r="H14" s="63"/>
      <c r="I14" s="56"/>
    </row>
    <row r="16" spans="1:26" ht="16" x14ac:dyDescent="0.2">
      <c r="A16" s="23" t="s">
        <v>19</v>
      </c>
      <c r="B16" s="27">
        <v>1</v>
      </c>
      <c r="C16" s="27">
        <v>2</v>
      </c>
      <c r="D16" s="27">
        <v>3</v>
      </c>
      <c r="E16" s="27">
        <v>4</v>
      </c>
      <c r="F16" s="27">
        <v>5</v>
      </c>
      <c r="G16" s="27">
        <v>6</v>
      </c>
      <c r="H16" s="27">
        <v>7</v>
      </c>
      <c r="I16" s="27">
        <v>8</v>
      </c>
      <c r="J16" s="27">
        <v>9</v>
      </c>
      <c r="K16" s="27">
        <v>10</v>
      </c>
      <c r="L16" s="27">
        <v>11</v>
      </c>
      <c r="M16" s="27">
        <v>12</v>
      </c>
      <c r="N16" s="60">
        <v>13</v>
      </c>
      <c r="O16" s="60">
        <v>14</v>
      </c>
      <c r="P16" s="60">
        <v>15</v>
      </c>
      <c r="Q16" s="60">
        <v>16</v>
      </c>
      <c r="R16" s="60">
        <v>17</v>
      </c>
      <c r="S16" s="60">
        <v>18</v>
      </c>
      <c r="T16" s="60">
        <v>19</v>
      </c>
      <c r="U16" s="60">
        <v>20</v>
      </c>
      <c r="V16" s="60">
        <v>21</v>
      </c>
      <c r="W16" s="60">
        <v>22</v>
      </c>
      <c r="X16" s="60">
        <v>23</v>
      </c>
      <c r="Y16" s="60">
        <v>24</v>
      </c>
    </row>
    <row r="17" spans="1:25" ht="16" x14ac:dyDescent="0.2">
      <c r="A17" s="23" t="s">
        <v>17</v>
      </c>
      <c r="B17" s="25">
        <f>B6</f>
        <v>4786.578125</v>
      </c>
      <c r="C17" s="25">
        <f t="shared" ref="C17:M17" si="6">C6</f>
        <v>50098.453125</v>
      </c>
      <c r="D17" s="25">
        <f t="shared" si="6"/>
        <v>97555.497893874999</v>
      </c>
      <c r="E17" s="25">
        <f t="shared" si="6"/>
        <v>142867.372893875</v>
      </c>
      <c r="F17" s="25">
        <f t="shared" si="6"/>
        <v>188179.247893875</v>
      </c>
      <c r="G17" s="25">
        <f t="shared" si="6"/>
        <v>235636.29266275</v>
      </c>
      <c r="H17" s="25">
        <f t="shared" si="6"/>
        <v>280948.16766275</v>
      </c>
      <c r="I17" s="25">
        <f t="shared" si="6"/>
        <v>326260.04266275</v>
      </c>
      <c r="J17" s="25">
        <f t="shared" si="6"/>
        <v>373717.087431625</v>
      </c>
      <c r="K17" s="25">
        <f t="shared" si="6"/>
        <v>419028.962431625</v>
      </c>
      <c r="L17" s="25">
        <f t="shared" si="6"/>
        <v>464340.837431625</v>
      </c>
      <c r="M17" s="25">
        <f t="shared" si="6"/>
        <v>511797.8822005</v>
      </c>
      <c r="N17" s="25">
        <f>O6</f>
        <v>647208.5072005</v>
      </c>
      <c r="O17" s="25">
        <f t="shared" ref="O17:Y17" si="7">P6</f>
        <v>782619.1322005</v>
      </c>
      <c r="P17" s="25">
        <f t="shared" si="7"/>
        <v>919745.89301560004</v>
      </c>
      <c r="Q17" s="25">
        <f t="shared" si="7"/>
        <v>1055156.5180156</v>
      </c>
      <c r="R17" s="25">
        <f t="shared" si="7"/>
        <v>1190567.1430156</v>
      </c>
      <c r="S17" s="25">
        <f t="shared" si="7"/>
        <v>1327693.9038307001</v>
      </c>
      <c r="T17" s="25">
        <f t="shared" si="7"/>
        <v>1463104.5288307001</v>
      </c>
      <c r="U17" s="25">
        <f t="shared" si="7"/>
        <v>1598515.1538307001</v>
      </c>
      <c r="V17" s="25">
        <f t="shared" si="7"/>
        <v>1735641.9146458001</v>
      </c>
      <c r="W17" s="25">
        <f t="shared" si="7"/>
        <v>1871052.5396458001</v>
      </c>
      <c r="X17" s="25">
        <f t="shared" si="7"/>
        <v>2006463.1646458001</v>
      </c>
      <c r="Y17" s="25">
        <f t="shared" si="7"/>
        <v>2143589.9254609002</v>
      </c>
    </row>
    <row r="18" spans="1:25" ht="16" x14ac:dyDescent="0.2">
      <c r="A18" s="23" t="s">
        <v>18</v>
      </c>
      <c r="B18" s="25">
        <f>B7</f>
        <v>16047.916666666664</v>
      </c>
      <c r="C18" s="25">
        <f t="shared" ref="C18:M18" si="8">C7</f>
        <v>99131.249999999971</v>
      </c>
      <c r="D18" s="25">
        <f t="shared" si="8"/>
        <v>182214.58333333328</v>
      </c>
      <c r="E18" s="25">
        <f t="shared" si="8"/>
        <v>265297.91666666663</v>
      </c>
      <c r="F18" s="25">
        <f t="shared" si="8"/>
        <v>348381.24999999994</v>
      </c>
      <c r="G18" s="25">
        <f t="shared" si="8"/>
        <v>431464.58333333326</v>
      </c>
      <c r="H18" s="25">
        <f t="shared" si="8"/>
        <v>514547.91666666657</v>
      </c>
      <c r="I18" s="25">
        <f t="shared" si="8"/>
        <v>597631.24999999988</v>
      </c>
      <c r="J18" s="25">
        <f t="shared" si="8"/>
        <v>680714.58333333326</v>
      </c>
      <c r="K18" s="25">
        <f t="shared" si="8"/>
        <v>763797.91666666651</v>
      </c>
      <c r="L18" s="25">
        <f t="shared" si="8"/>
        <v>846881.24999999977</v>
      </c>
      <c r="M18" s="25">
        <f t="shared" si="8"/>
        <v>929964.58333333302</v>
      </c>
      <c r="N18" s="25">
        <f>O7</f>
        <v>1179214.583333333</v>
      </c>
      <c r="O18" s="25">
        <f t="shared" ref="O18:Y18" si="9">P7</f>
        <v>1428464.583333333</v>
      </c>
      <c r="P18" s="25">
        <f t="shared" si="9"/>
        <v>1677714.583333333</v>
      </c>
      <c r="Q18" s="25">
        <f t="shared" si="9"/>
        <v>1926964.583333333</v>
      </c>
      <c r="R18" s="25">
        <f t="shared" si="9"/>
        <v>2176214.583333333</v>
      </c>
      <c r="S18" s="25">
        <f t="shared" si="9"/>
        <v>2425464.583333333</v>
      </c>
      <c r="T18" s="25">
        <f t="shared" si="9"/>
        <v>2674714.583333333</v>
      </c>
      <c r="U18" s="25">
        <f t="shared" si="9"/>
        <v>2923964.583333333</v>
      </c>
      <c r="V18" s="25">
        <f t="shared" si="9"/>
        <v>3173214.583333333</v>
      </c>
      <c r="W18" s="25">
        <f t="shared" si="9"/>
        <v>3422464.583333333</v>
      </c>
      <c r="X18" s="25">
        <f t="shared" si="9"/>
        <v>3671714.583333333</v>
      </c>
      <c r="Y18" s="25">
        <f t="shared" si="9"/>
        <v>3920964.583333333</v>
      </c>
    </row>
  </sheetData>
  <pageMargins left="0.7" right="0.7" top="0.75" bottom="0.75" header="0.3" footer="0.3"/>
  <ignoredErrors>
    <ignoredError sqref="C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zoomScale="180" zoomScaleNormal="180" zoomScalePageLayoutView="180" workbookViewId="0">
      <selection activeCell="B5" sqref="B5"/>
    </sheetView>
  </sheetViews>
  <sheetFormatPr baseColWidth="10" defaultColWidth="9" defaultRowHeight="15" x14ac:dyDescent="0.2"/>
  <cols>
    <col min="1" max="1" width="41.5" style="24" customWidth="1"/>
    <col min="2" max="2" width="11.6640625" style="24" bestFit="1" customWidth="1"/>
    <col min="3" max="3" width="14" style="24" customWidth="1"/>
    <col min="4" max="4" width="9.5" style="24" bestFit="1" customWidth="1"/>
    <col min="5" max="5" width="10.6640625" style="24" bestFit="1" customWidth="1"/>
    <col min="6" max="16384" width="9" style="24"/>
  </cols>
  <sheetData>
    <row r="1" spans="1:5" ht="48" x14ac:dyDescent="0.2">
      <c r="A1" s="23"/>
      <c r="B1" s="23" t="s">
        <v>30</v>
      </c>
      <c r="C1" s="23" t="s">
        <v>31</v>
      </c>
      <c r="D1" s="27" t="s">
        <v>32</v>
      </c>
      <c r="E1" s="27" t="s">
        <v>33</v>
      </c>
    </row>
    <row r="2" spans="1:5" ht="16" x14ac:dyDescent="0.2">
      <c r="A2" s="23" t="s">
        <v>24</v>
      </c>
      <c r="B2" s="25">
        <f>წაუგებლობა!N3-წაუგებლობა!N2</f>
        <v>418166.70113283303</v>
      </c>
      <c r="C2" s="28">
        <f>B2*15%</f>
        <v>62725.005169924952</v>
      </c>
      <c r="D2" s="28">
        <f>(B2-C2)/12</f>
        <v>29620.141330242343</v>
      </c>
      <c r="E2" s="28">
        <f>D2*12</f>
        <v>355441.6959629081</v>
      </c>
    </row>
    <row r="3" spans="1:5" ht="16" x14ac:dyDescent="0.2">
      <c r="A3" s="23" t="s">
        <v>25</v>
      </c>
      <c r="B3" s="29">
        <f>B2/წაუგებლობა!N2</f>
        <v>0.81705437962131622</v>
      </c>
      <c r="C3" s="23"/>
      <c r="D3" s="23"/>
      <c r="E3" s="23"/>
    </row>
    <row r="4" spans="1:5" ht="16" x14ac:dyDescent="0.2">
      <c r="A4" s="23" t="s">
        <v>26</v>
      </c>
      <c r="B4" s="29">
        <f>B2/წაუგებლობა!N3</f>
        <v>0.4496587382220199</v>
      </c>
      <c r="C4" s="23"/>
      <c r="D4" s="23"/>
      <c r="E4" s="23"/>
    </row>
    <row r="5" spans="1:5" ht="32" x14ac:dyDescent="0.2">
      <c r="A5" s="23" t="s">
        <v>27</v>
      </c>
      <c r="B5" s="29">
        <f>E2/B6</f>
        <v>0.37494705773824666</v>
      </c>
      <c r="C5" s="23" t="s">
        <v>28</v>
      </c>
      <c r="D5" s="23"/>
      <c r="E5" s="23"/>
    </row>
    <row r="6" spans="1:5" ht="16" x14ac:dyDescent="0.2">
      <c r="A6" s="23" t="s">
        <v>29</v>
      </c>
      <c r="B6" s="30">
        <f>წაუგებლობა!H11</f>
        <v>947978.35755000007</v>
      </c>
      <c r="C6" s="23"/>
      <c r="D6" s="23"/>
      <c r="E6" s="23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59C5-A82C-40EB-ADFF-A41C45032798}">
  <dimension ref="A1:D3"/>
  <sheetViews>
    <sheetView workbookViewId="0">
      <selection activeCell="D5" sqref="D5"/>
    </sheetView>
  </sheetViews>
  <sheetFormatPr baseColWidth="10" defaultColWidth="8.83203125" defaultRowHeight="15" x14ac:dyDescent="0.2"/>
  <cols>
    <col min="1" max="1" width="11.1640625" bestFit="1" customWidth="1"/>
    <col min="2" max="2" width="15.1640625" bestFit="1" customWidth="1"/>
    <col min="3" max="4" width="11.1640625" bestFit="1" customWidth="1"/>
  </cols>
  <sheetData>
    <row r="1" spans="1:4" x14ac:dyDescent="0.2">
      <c r="A1" t="s">
        <v>55</v>
      </c>
      <c r="B1" t="s">
        <v>56</v>
      </c>
      <c r="C1" t="s">
        <v>57</v>
      </c>
      <c r="D1" t="s">
        <v>58</v>
      </c>
    </row>
    <row r="2" spans="1:4" x14ac:dyDescent="0.2">
      <c r="A2" t="s">
        <v>59</v>
      </c>
      <c r="B2" t="s">
        <v>60</v>
      </c>
      <c r="C2">
        <v>3.0407000000000002</v>
      </c>
      <c r="D2">
        <v>0</v>
      </c>
    </row>
    <row r="3" spans="1:4" x14ac:dyDescent="0.2">
      <c r="A3" t="s">
        <v>61</v>
      </c>
      <c r="B3" t="s">
        <v>62</v>
      </c>
      <c r="C3">
        <v>2.6861000000000002</v>
      </c>
      <c r="D3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a 7 d c 5 7 - e d 5 9 - 4 0 2 1 - a 7 4 5 - a 7 0 a d d 6 e 5 d 3 a "   x m l n s = " h t t p : / / s c h e m a s . m i c r o s o f t . c o m / D a t a M a s h u p " > A A A A A H k E A A B Q S w M E F A A C A A g A x J t y T v Q T Q Z i m A A A A + A A A A B I A H A B D b 2 5 m a W c v U G F j a 2 F n Z S 5 4 b W w g o h g A K K A U A A A A A A A A A A A A A A A A A A A A A A A A A A A A h Y 8 x D o I w G E a v Q r r T l o p o y E 8 Z X C U x I R r X B i o 0 Q j G 0 W O 7 m 4 J G 8 g i S K u j l + L 2 9 4 3 + N 2 h 3 R s G + 8 q e 6 M 6 n a A A U + R J X X S l 0 l W C B n v y 1 y j l s B P F W V T S m 2 R t 4 t G U C a q t v c S E O O e w W + C u r w i j N C D H b J s X t W w F + s j q v + w r b a z Q h U Q c D q 8 Y z n C 0 w s u Q h p h F A Z A Z Q 6 b 0 V 2 F T M a Z A f i B s h s Y O v e R S + / s c y D y B v F / w J 1 B L A w Q U A A I A C A D E m 3 J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J t y T q o 0 S f h x A Q A A z g I A A B M A H A B G b 3 J t d W x h c y 9 T Z W N 0 a W 9 u M S 5 t I K I Y A C i g F A A A A A A A A A A A A A A A A A A A A A A A A A A A A K V S y 2 o C M R T d C / 7 D J W 5 G G M Z H K 5 S K d K H d F x 9 0 I S 5 G T U d h J i M z 8 V F E a K W 0 C / s B b k t / o I V K p z 7 q L 9 z 8 U a O j H S v Y L h o I S c 7 J P e f c E J f W e N N m U P D X R D o c C o f c h u 7 Q O k R I U a + a F O I E M m B S H g 6 B H D g W t 2 K I n + I B F + j h V H K X t K p d 6 A Z V V p u s z T h l 3 F V I g / O W e x q L d b t d j V U N z b A 7 m k F j T V a n P a 3 V a J 1 Z m d R J k k S j q q + c 0 7 k e l 3 L 7 D v 3 4 o L z i K p t 7 E Y J j f M c 5 T i S / m g s x w g + Q J R 4 u V 1 n X s b W i o z P 3 y n a s r G 2 2 L V a 8 b l F X W X u o / T 7 x w Q R R g U s C O O 3 x g Q p b P H k A P 9 r i r G 1 V q b P D H B + o S O 1 V D K J B F 8 / 4 h i 8 4 + + 5 h A n 7 j E n o V 9 2 I U 9 J K n l t 2 h v q K r / P 4 A a h B p 1 + x J D M W N 1 J 6 i J 2 0 A l / L k 7 W n M Q d x J c C Y e N 5 f n Q Y Q C N e U f y d v d t f + f 0 V W g e q 0 B S n n z 0 B U p R M 5 L e Q K 2 A z / A U i E n / 0 A 4 1 G T / z Z r + A l B L A Q I t A B Q A A g A I A M S b c k 7 0 E 0 G Y p g A A A P g A A A A S A A A A A A A A A A A A A A A A A A A A A A B D b 2 5 m a W c v U G F j a 2 F n Z S 5 4 b W x Q S w E C L Q A U A A I A C A D E m 3 J O D 8 r p q 6 Q A A A D p A A A A E w A A A A A A A A A A A A A A A A D y A A A A W 0 N v b n R l b n R f V H l w Z X N d L n h t b F B L A Q I t A B Q A A g A I A M S b c k 6 q N E n 4 c Q E A A M 4 C A A A T A A A A A A A A A A A A A A A A A O M B A A B G b 3 J t d W x h c y 9 T Z W N 0 a W 9 u M S 5 t U E s F B g A A A A A D A A M A w g A A A K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N A A A A A A A A 1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R h Y m x l X z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z L T E 4 V D E 1 O j M w O j A 4 L j Q y O D A w O D J a I i A v P j x F b n R y e S B U e X B l P S J G a W x s Q 2 9 s d W 1 u V H l w Z X M i I F Z h b H V l P S J z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S Z x d W 9 0 O 1 0 i I C 8 + P E V u d H J 5 I F R 5 c G U 9 I k Z p b G x T d G F 0 d X M i I F Z h b H V l P S J z Q 2 9 t c G x l d G U i I C 8 + P E V u d H J 5 I F R 5 c G U 9 I l F 1 Z X J 5 S U Q i I F Z h b H V l P S J z Y j J h Z D U z N T c t M m U 3 Y y 0 0 M G N k L T g w O D g t O T k y Y m E 2 N z c 1 N 2 V i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A v 0 J j Q t 9 C 8 0 L X Q v d C 1 0 L 3 Q v d G L 0 L k g 0 Y L Q u N C / L n t D b 2 x 1 b W 4 x L D B 9 J n F 1 b 3 Q 7 L C Z x d W 9 0 O 1 N l Y 3 R p b 2 4 x L 1 R h Y m x l I D A v 0 J j Q t 9 C 8 0 L X Q v d C 1 0 L 3 Q v d G L 0 L k g 0 Y L Q u N C / L n t D b 2 x 1 b W 4 y L D F 9 J n F 1 b 3 Q 7 L C Z x d W 9 0 O 1 N l Y 3 R p b 2 4 x L 1 R h Y m x l I D A v 0 J j Q t 9 C 8 0 L X Q v d C 1 0 L 3 Q v d G L 0 L k g 0 Y L Q u N C / L n t D b 2 x 1 b W 4 z L D J 9 J n F 1 b 3 Q 7 L C Z x d W 9 0 O 1 N l Y 3 R p b 2 4 x L 1 R h Y m x l I D A v 0 J j Q t 9 C 8 0 L X Q v d C 1 0 L 3 Q v d G L 0 L k g 0 Y L Q u N C / L n t D b 2 x 1 b W 4 1 L D R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I D A v 0 J j Q t 9 C 8 0 L X Q v d C 1 0 L 3 Q v d G L 0 L k g 0 Y L Q u N C / L n t D b 2 x 1 b W 4 x L D B 9 J n F 1 b 3 Q 7 L C Z x d W 9 0 O 1 N l Y 3 R p b 2 4 x L 1 R h Y m x l I D A v 0 J j Q t 9 C 8 0 L X Q v d C 1 0 L 3 Q v d G L 0 L k g 0 Y L Q u N C / L n t D b 2 x 1 b W 4 y L D F 9 J n F 1 b 3 Q 7 L C Z x d W 9 0 O 1 N l Y 3 R p b 2 4 x L 1 R h Y m x l I D A v 0 J j Q t 9 C 8 0 L X Q v d C 1 0 L 3 Q v d G L 0 L k g 0 Y L Q u N C / L n t D b 2 x 1 b W 4 z L D J 9 J n F 1 b 3 Q 7 L C Z x d W 9 0 O 1 N l Y 3 R p b 2 4 x L 1 R h Y m x l I D A v 0 J j Q t 9 C 8 0 L X Q v d C 1 0 L 3 Q v d G L 0 L k g 0 Y L Q u N C /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F j w P g c 5 V t B q E d Q m C X g Z T o A A A A A A g A A A A A A E G Y A A A A B A A A g A A A A 6 u q 6 f t M 7 9 4 L Q q P h 2 T 4 q l N l F S A Z 1 R P f + n r w h a Y G 0 l S L c A A A A A D o A A A A A C A A A g A A A A r f L / T o D H k u y N D 4 c h V 7 p f u G C 3 C 4 T m m R 2 Y H A W b u d / 9 5 N V Q A A A A Y f 5 R s l U 5 p j w X y q I C q 3 E j 8 8 W I o R G R i Q H j t z M J I v 0 e y h p C J K j B Y 6 1 u 6 s S c z K d N T L P 6 a 5 g z / x 3 k k Q N o 0 / a 2 A u b y C Y q j d + N a 7 2 U 7 K J t l + n E K j 2 1 A A A A A K l c K / u g d P 0 9 a N y 0 9 5 3 S f g S k C r y Z O G S b P i 3 1 L R X 6 6 Z z e B e S q a Q 2 h Y s Q u b 1 Z t f w 3 o h 2 5 p l w + c a S F W M E O V k o E y D K g = = < / D a t a M a s h u p > 
</file>

<file path=customXml/itemProps1.xml><?xml version="1.0" encoding="utf-8"?>
<ds:datastoreItem xmlns:ds="http://schemas.openxmlformats.org/officeDocument/2006/customXml" ds:itemID="{833E99BA-7F08-4D03-AC89-2960BA091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</vt:vector>
  </HeadingPairs>
  <TitlesOfParts>
    <vt:vector size="7" baseType="lpstr">
      <vt:lpstr>1</vt:lpstr>
      <vt:lpstr>წაუგებლობა</vt:lpstr>
      <vt:lpstr>მოგება</vt:lpstr>
      <vt:lpstr>Лист1</vt:lpstr>
      <vt:lpstr>Chart1</vt:lpstr>
      <vt:lpstr>Chart2</vt:lpstr>
      <vt:lpstr>Chart3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ტელემედიცინა საქართველოში</dc:title>
  <dc:subject/>
  <dc:creator/>
  <cp:keywords/>
  <dc:description>ფაილში მოცემულია საპროგნოზო მონაცემები</dc:description>
  <cp:lastModifiedBy/>
  <dcterms:created xsi:type="dcterms:W3CDTF">2006-09-16T00:00:00Z</dcterms:created>
  <dcterms:modified xsi:type="dcterms:W3CDTF">2019-04-13T15:51:35Z</dcterms:modified>
  <cp:category/>
</cp:coreProperties>
</file>